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60" yWindow="15" windowWidth="17625" windowHeight="10395" tabRatio="853" firstSheet="20" activeTab="26"/>
  </bookViews>
  <sheets>
    <sheet name="Ag Footprint" sheetId="1" r:id="rId1"/>
    <sheet name="AgCensus" sheetId="2" r:id="rId2"/>
    <sheet name="Diet" sheetId="3" r:id="rId3"/>
    <sheet name="Calories" sheetId="4" r:id="rId4"/>
    <sheet name="Veg" sheetId="5" r:id="rId5"/>
    <sheet name="VegCurrent" sheetId="6" r:id="rId6"/>
    <sheet name="VegY" sheetId="7" r:id="rId7"/>
    <sheet name="Fruit" sheetId="8" r:id="rId8"/>
    <sheet name="FruitCurrent" sheetId="9" r:id="rId9"/>
    <sheet name="FruitY" sheetId="10" r:id="rId10"/>
    <sheet name="Grain" sheetId="11" r:id="rId11"/>
    <sheet name="GrainCurrent" sheetId="12" r:id="rId12"/>
    <sheet name="GrainY" sheetId="13" r:id="rId13"/>
    <sheet name="Protein" sheetId="14" r:id="rId14"/>
    <sheet name="ProteinCurrent" sheetId="15" r:id="rId15"/>
    <sheet name="Dairy" sheetId="16" r:id="rId16"/>
    <sheet name="DairyCurrent" sheetId="17" r:id="rId17"/>
    <sheet name="Livestock" sheetId="18" r:id="rId18"/>
    <sheet name="Cattle" sheetId="19" r:id="rId19"/>
    <sheet name="Sheep" sheetId="20" r:id="rId20"/>
    <sheet name="Goats" sheetId="21" r:id="rId21"/>
    <sheet name="Pigs" sheetId="22" r:id="rId22"/>
    <sheet name="Poultry" sheetId="23" r:id="rId23"/>
    <sheet name="Horses" sheetId="24" r:id="rId24"/>
    <sheet name="Nuts" sheetId="25" r:id="rId25"/>
    <sheet name="NutsY" sheetId="26" r:id="rId26"/>
    <sheet name="Fats" sheetId="27" r:id="rId27"/>
    <sheet name="FatsCurrent" sheetId="28" r:id="rId28"/>
    <sheet name="OilsY" sheetId="29" r:id="rId29"/>
    <sheet name="Sugar" sheetId="30" r:id="rId30"/>
    <sheet name="SugarsCurrent" sheetId="31" r:id="rId31"/>
    <sheet name="SugarsY" sheetId="32" r:id="rId32"/>
    <sheet name="CofTeaChoc" sheetId="33" r:id="rId33"/>
    <sheet name="Alcohol" sheetId="34" r:id="rId34"/>
    <sheet name="Spices" sheetId="35" r:id="rId35"/>
    <sheet name="GlobalY" sheetId="36" r:id="rId36"/>
  </sheets>
  <externalReferences>
    <externalReference r:id="rId39"/>
  </externalReferences>
  <definedNames>
    <definedName name="_xlnm.Print_Area" localSheetId="0">'Ag Footprint'!$A$1:$K$48</definedName>
  </definedNames>
  <calcPr fullCalcOnLoad="1"/>
</workbook>
</file>

<file path=xl/comments1.xml><?xml version="1.0" encoding="utf-8"?>
<comments xmlns="http://schemas.openxmlformats.org/spreadsheetml/2006/main">
  <authors>
    <author>Hannah Ramer</author>
  </authors>
  <commentList>
    <comment ref="C8" authorId="0">
      <text>
        <r>
          <rPr>
            <sz val="9"/>
            <rFont val="Tahoma"/>
            <family val="2"/>
          </rPr>
          <t xml:space="preserve">Includes 10,267 ac that weren't listed by crop because they were a unique grower. </t>
        </r>
      </text>
    </comment>
    <comment ref="C32" authorId="0">
      <text>
        <r>
          <rPr>
            <sz val="9"/>
            <rFont val="Tahoma"/>
            <family val="2"/>
          </rPr>
          <t>Barley and rye</t>
        </r>
      </text>
    </comment>
    <comment ref="B40" authorId="0">
      <text>
        <r>
          <rPr>
            <sz val="9"/>
            <rFont val="Tahoma"/>
            <family val="2"/>
          </rPr>
          <t>Cropland pastured = 132
Permanent pasture = 320
Total pasture = 452</t>
        </r>
      </text>
    </comment>
  </commentList>
</comments>
</file>

<file path=xl/comments10.xml><?xml version="1.0" encoding="utf-8"?>
<comments xmlns="http://schemas.openxmlformats.org/spreadsheetml/2006/main">
  <authors>
    <author>Columbia University</author>
  </authors>
  <commentList>
    <comment ref="G8" authorId="0">
      <text>
        <r>
          <rPr>
            <sz val="9"/>
            <rFont val="Tahoma"/>
            <family val="2"/>
          </rPr>
          <t>Based wholly on Maine Wild Blueberry harvests as reported in NE NASS' MaineWild Blueberries Reprot http://www.nass.usda.gov/Statistics_by_State/New_England_includes/Publications/Special_Reports/wbrel2011.pdf
Acreage is assumed to be the same as reported in the 2007 Ag Census =22,747 ac harvested. 
*Wild blueberries are managed in a burn-harvest 2 year cycle.</t>
        </r>
      </text>
    </comment>
  </commentList>
</comments>
</file>

<file path=xl/comments11.xml><?xml version="1.0" encoding="utf-8"?>
<comments xmlns="http://schemas.openxmlformats.org/spreadsheetml/2006/main">
  <authors>
    <author>Hannah Ramer</author>
  </authors>
  <commentList>
    <comment ref="C8" authorId="0">
      <text>
        <r>
          <rPr>
            <sz val="9"/>
            <rFont val="Tahoma"/>
            <family val="2"/>
          </rPr>
          <t xml:space="preserve">2010 Guidelines report that current consumption of whole grains is at 15% of the goal (pg 46). On pg 51 they report that we get 0.6 oz of whole grains out of 6.4 oz. That would be 10% of total.
</t>
        </r>
      </text>
    </comment>
    <comment ref="C11" authorId="0">
      <text>
        <r>
          <rPr>
            <sz val="9"/>
            <rFont val="Tahoma"/>
            <family val="2"/>
          </rPr>
          <t>2010 Guidelines report that current consumption of whole grains is at 15% of the goal (pg 46). On pg 51 they report that we get 0.6 oz of whole grains out of 6.4 oz. That would be 10% of total.</t>
        </r>
      </text>
    </comment>
    <comment ref="G11" authorId="0">
      <text>
        <r>
          <rPr>
            <sz val="9"/>
            <rFont val="Tahoma"/>
            <family val="2"/>
          </rPr>
          <t>Schramm, Rebecca. (2010) Dissertation, Louisiana State University. 
http://etd.lsu.edu/docs/available/etd-04092010-162834/unrestricted/schrammdiss.pdf
Milling yield 80-90%. Polished white rice means an additional reduction in weight of ~12%</t>
        </r>
      </text>
    </comment>
    <comment ref="G12" authorId="0">
      <text>
        <r>
          <rPr>
            <sz val="9"/>
            <rFont val="Tahoma"/>
            <family val="2"/>
          </rPr>
          <t>Milling yield 80-90%. Polished white rice means an additional reduction in weight of ~12%</t>
        </r>
      </text>
    </comment>
    <comment ref="E18" authorId="0">
      <text>
        <r>
          <rPr>
            <sz val="9"/>
            <rFont val="Tahoma"/>
            <family val="2"/>
          </rPr>
          <t>Personal communication with Valley Malt</t>
        </r>
      </text>
    </comment>
    <comment ref="G18" authorId="0">
      <text>
        <r>
          <rPr>
            <sz val="9"/>
            <rFont val="Tahoma"/>
            <family val="2"/>
          </rPr>
          <t>15% spoilage rate. (Personal communication with Valley Malt)</t>
        </r>
      </text>
    </comment>
    <comment ref="I18" authorId="0">
      <text>
        <r>
          <rPr>
            <sz val="9"/>
            <rFont val="Tahoma"/>
            <family val="2"/>
          </rPr>
          <t xml:space="preserve">Compare to...
Valley Malt: 1ton/ac (2000 lbs/ac)
According to Valley Malt in NY growers get: 3 ton/ac (6,000 lbs/ac)
2007 average yield in ME: 63.4 bu/ac (3,043 lbs/ac)
</t>
        </r>
      </text>
    </comment>
  </commentList>
</comments>
</file>

<file path=xl/comments14.xml><?xml version="1.0" encoding="utf-8"?>
<comments xmlns="http://schemas.openxmlformats.org/spreadsheetml/2006/main">
  <authors>
    <author>Hannah Ramer</author>
  </authors>
  <commentList>
    <comment ref="G16" authorId="0">
      <text>
        <r>
          <rPr>
            <sz val="9"/>
            <rFont val="Tahoma"/>
            <family val="2"/>
          </rPr>
          <t># eggs/yr</t>
        </r>
      </text>
    </comment>
    <comment ref="D25" authorId="0">
      <text>
        <r>
          <rPr>
            <sz val="9"/>
            <rFont val="Tahoma"/>
            <family val="2"/>
          </rPr>
          <t>1/2 oz nuts = 1 oz-eq</t>
        </r>
      </text>
    </comment>
    <comment ref="D26" authorId="0">
      <text>
        <r>
          <rPr>
            <sz val="9"/>
            <rFont val="Tahoma"/>
            <family val="2"/>
          </rPr>
          <t>1/2 oz nuts = 1 oz-eq</t>
        </r>
      </text>
    </comment>
    <comment ref="D16" authorId="0">
      <text>
        <r>
          <rPr>
            <sz val="9"/>
            <rFont val="Tahoma"/>
            <family val="2"/>
          </rPr>
          <t># eggs/yr</t>
        </r>
      </text>
    </comment>
  </commentList>
</comments>
</file>

<file path=xl/comments16.xml><?xml version="1.0" encoding="utf-8"?>
<comments xmlns="http://schemas.openxmlformats.org/spreadsheetml/2006/main">
  <authors>
    <author>Hannah Ramer</author>
  </authors>
  <commentList>
    <comment ref="C45" authorId="0">
      <text>
        <r>
          <rPr>
            <b/>
            <sz val="9"/>
            <rFont val="Tahoma"/>
            <family val="2"/>
          </rPr>
          <t>HR:</t>
        </r>
        <r>
          <rPr>
            <sz val="9"/>
            <rFont val="Tahoma"/>
            <family val="2"/>
          </rPr>
          <t xml:space="preserve"> (80% of weight of butter is fat, 28.3495 converts lbs/yr to g/d)</t>
        </r>
      </text>
    </comment>
    <comment ref="C7" authorId="0">
      <text>
        <r>
          <rPr>
            <sz val="9"/>
            <rFont val="Tahoma"/>
            <family val="2"/>
          </rPr>
          <t xml:space="preserve">Peters et al 2006
production = avg of 56.5 lbs/day/cow
</t>
        </r>
      </text>
    </comment>
  </commentList>
</comments>
</file>

<file path=xl/comments17.xml><?xml version="1.0" encoding="utf-8"?>
<comments xmlns="http://schemas.openxmlformats.org/spreadsheetml/2006/main">
  <authors>
    <author>Hannah Ramer</author>
  </authors>
  <commentList>
    <comment ref="AI3" authorId="0">
      <text>
        <r>
          <rPr>
            <sz val="9"/>
            <rFont val="Tahoma"/>
            <family val="2"/>
          </rPr>
          <t xml:space="preserve">This excludeds evaporated condensed milk, dry milk products, dairy share of eggnog and half&amp;half, and cottage cheese
</t>
        </r>
      </text>
    </comment>
    <comment ref="A39" authorId="0">
      <text>
        <r>
          <rPr>
            <sz val="9"/>
            <rFont val="Tahoma"/>
            <family val="2"/>
          </rPr>
          <t>This is avg from 1997-2001 (ERS does not track more recent consumption)</t>
        </r>
      </text>
    </comment>
  </commentList>
</comments>
</file>

<file path=xl/comments18.xml><?xml version="1.0" encoding="utf-8"?>
<comments xmlns="http://schemas.openxmlformats.org/spreadsheetml/2006/main">
  <authors>
    <author>Hannah Ramer</author>
  </authors>
  <commentList>
    <comment ref="C4" authorId="0">
      <text>
        <r>
          <rPr>
            <sz val="9"/>
            <rFont val="Tahoma"/>
            <family val="2"/>
          </rPr>
          <t>Milk yield in 2007, from New Eng NASS Milk Report</t>
        </r>
      </text>
    </comment>
    <comment ref="C8" authorId="0">
      <text>
        <r>
          <rPr>
            <sz val="9"/>
            <rFont val="Tahoma"/>
            <family val="2"/>
          </rPr>
          <t>Total beef from dairy cull cows, calves, beef cull cows, and beef steers.
NE NASS average 2007-2011</t>
        </r>
      </text>
    </comment>
    <comment ref="B4" authorId="0">
      <text>
        <r>
          <rPr>
            <sz val="9"/>
            <rFont val="Tahoma"/>
            <family val="2"/>
          </rPr>
          <t>NE NASS Annual Reports, 5 yr average</t>
        </r>
      </text>
    </comment>
    <comment ref="C12" authorId="0">
      <text>
        <r>
          <rPr>
            <sz val="9"/>
            <rFont val="Tahoma"/>
            <family val="2"/>
          </rPr>
          <t>NE NASS average 2007-2011</t>
        </r>
      </text>
    </comment>
    <comment ref="C18" authorId="0">
      <text>
        <r>
          <rPr>
            <sz val="9"/>
            <rFont val="Tahoma"/>
            <family val="2"/>
          </rPr>
          <t>NE NASS average 2007-2011</t>
        </r>
      </text>
    </comment>
    <comment ref="C22" authorId="0">
      <text>
        <r>
          <rPr>
            <sz val="9"/>
            <rFont val="Tahoma"/>
            <family val="2"/>
          </rPr>
          <t>NE NASS average 2007-2011</t>
        </r>
      </text>
    </comment>
    <comment ref="C28" authorId="0">
      <text>
        <r>
          <rPr>
            <sz val="9"/>
            <rFont val="Tahoma"/>
            <family val="2"/>
          </rPr>
          <t>Ag Census 2007</t>
        </r>
      </text>
    </comment>
    <comment ref="C32" authorId="0">
      <text>
        <r>
          <rPr>
            <sz val="9"/>
            <rFont val="Tahoma"/>
            <family val="2"/>
          </rPr>
          <t>Ag Census 2007</t>
        </r>
      </text>
    </comment>
  </commentList>
</comments>
</file>

<file path=xl/comments19.xml><?xml version="1.0" encoding="utf-8"?>
<comments xmlns="http://schemas.openxmlformats.org/spreadsheetml/2006/main">
  <authors>
    <author>Hannah Ramer</author>
    <author>Columbia University</author>
  </authors>
  <commentList>
    <comment ref="E5" authorId="0">
      <text>
        <r>
          <rPr>
            <sz val="9"/>
            <rFont val="Tahoma"/>
            <family val="2"/>
          </rPr>
          <t>Peters reports numbers on a dry weight basis.</t>
        </r>
      </text>
    </comment>
    <comment ref="C6" authorId="0">
      <text>
        <r>
          <rPr>
            <sz val="9"/>
            <rFont val="Tahoma"/>
            <family val="2"/>
          </rPr>
          <t>NE NASS average 2007-2011</t>
        </r>
      </text>
    </comment>
    <comment ref="E6" authorId="0">
      <text>
        <r>
          <rPr>
            <sz val="9"/>
            <rFont val="Tahoma"/>
            <family val="2"/>
          </rPr>
          <t xml:space="preserve">Peters calls for 29.8 lbs dry weight of alfalfa silage. 
We account for a 15% storage loss, and a 5% feeding loss, for an overall loss% of 19.25%, applied here.
</t>
        </r>
      </text>
    </comment>
    <comment ref="F6" authorId="0">
      <text>
        <r>
          <rPr>
            <sz val="9"/>
            <rFont val="Tahoma"/>
            <family val="2"/>
          </rPr>
          <t xml:space="preserve">Peters calls for 29.8 lbs dry weight of alfalfa silage. 
We account for a 15% storage loss, and a 5% feeding loss, for an overall loss% of 19.25%, applied here. </t>
        </r>
      </text>
    </comment>
    <comment ref="D7" authorId="0">
      <text>
        <r>
          <rPr>
            <sz val="9"/>
            <rFont val="Tahoma"/>
            <family val="2"/>
          </rPr>
          <t>Peters et al 2006
56.5 lbs/day/cow</t>
        </r>
      </text>
    </comment>
    <comment ref="E7" authorId="0">
      <text>
        <r>
          <rPr>
            <sz val="9"/>
            <rFont val="Tahoma"/>
            <family val="2"/>
          </rPr>
          <t xml:space="preserve">Peters calls for 29.8 lbs dry weight of alfalfa silage. 
We account for a 15% storage loss, and a 5% feeding loss, for an overall loss% of 19.25%, applied here.
</t>
        </r>
      </text>
    </comment>
    <comment ref="F7" authorId="0">
      <text>
        <r>
          <rPr>
            <sz val="9"/>
            <rFont val="Tahoma"/>
            <family val="2"/>
          </rPr>
          <t xml:space="preserve">Peters calls for 29.8 lbs dry weight of alfalfa silage. 
We account for a 15% storage loss, and a 5% feeding loss, for an overall loss% of 19.25%, applied here. </t>
        </r>
      </text>
    </comment>
    <comment ref="K10" authorId="0">
      <text>
        <r>
          <rPr>
            <sz val="9"/>
            <rFont val="Tahoma"/>
            <family val="2"/>
          </rPr>
          <t xml:space="preserve">This is yield of hay, not dry weight, as above.
Here we assume half alfalfa and half grass hay. </t>
        </r>
      </text>
    </comment>
    <comment ref="D30" authorId="0">
      <text>
        <r>
          <rPr>
            <sz val="9"/>
            <rFont val="Tahoma"/>
            <family val="2"/>
          </rPr>
          <t>Corn silage yields roughly twice as much dry matter compared to alfalfa haylage</t>
        </r>
        <r>
          <rPr>
            <b/>
            <sz val="9"/>
            <rFont val="Tahoma"/>
            <family val="2"/>
          </rPr>
          <t xml:space="preserve">
</t>
        </r>
      </text>
    </comment>
    <comment ref="W11" authorId="0">
      <text>
        <r>
          <rPr>
            <sz val="9"/>
            <rFont val="Tahoma"/>
            <family val="2"/>
          </rPr>
          <t xml:space="preserve">Missouri Extension: 1 bushel of soybeans (60 lbs)=48 lbs of soybean meal (http://agebb.missouri.edu/commag/crops/audit/pdfs/MissouriSoybeanFacts.pdf)
Soybean Yearbook: 5 year (2006-10) average yield of soybeans is 2,541 lbs/acre
Yield of soybean meal: 2,541 x (48/60) = 2,032.8
</t>
        </r>
      </text>
    </comment>
    <comment ref="W13" authorId="0">
      <text>
        <r>
          <rPr>
            <sz val="9"/>
            <rFont val="Tahoma"/>
            <family val="2"/>
          </rPr>
          <t xml:space="preserve">Missouri Extension: 1 bushel of soybeans (60 lbs)=48 lbs of soybean meal (http://agebb.missouri.edu/commag/crops/audit/pdfs/MissouriSoybeanFacts.pdf)
Soybean Yearbook: 5 year (2006-10) average yield of soybeans is 2,541 lbs/acre
Yield of soybean meal: 2,541 x (48/60) = 2,032.8
</t>
        </r>
      </text>
    </comment>
    <comment ref="C17" authorId="0">
      <text>
        <r>
          <rPr>
            <sz val="9"/>
            <rFont val="Tahoma"/>
            <family val="2"/>
          </rPr>
          <t xml:space="preserve">Estimated
</t>
        </r>
      </text>
    </comment>
    <comment ref="C14" authorId="0">
      <text>
        <r>
          <rPr>
            <sz val="9"/>
            <rFont val="Tahoma"/>
            <family val="2"/>
          </rPr>
          <t xml:space="preserve">Estimated
</t>
        </r>
      </text>
    </comment>
    <comment ref="F65" authorId="0">
      <text>
        <r>
          <rPr>
            <sz val="9"/>
            <rFont val="Tahoma"/>
            <family val="2"/>
          </rPr>
          <t>heifers &gt; 500 lbs</t>
        </r>
      </text>
    </comment>
    <comment ref="B62" authorId="0">
      <text>
        <r>
          <rPr>
            <sz val="9"/>
            <rFont val="Tahoma"/>
            <family val="2"/>
          </rPr>
          <t>0.3 cull rate is reportedly the industry standards.</t>
        </r>
      </text>
    </comment>
    <comment ref="B60" authorId="1">
      <text>
        <r>
          <rPr>
            <sz val="9"/>
            <rFont val="Tahoma"/>
            <family val="2"/>
          </rPr>
          <t>This is weaning rate (# of calves weaned per cows in the herd), so it accounts for mortality of young</t>
        </r>
      </text>
    </comment>
    <comment ref="F51" authorId="1">
      <text>
        <r>
          <rPr>
            <sz val="9"/>
            <rFont val="Tahoma"/>
            <family val="2"/>
          </rPr>
          <t>Rust and Abney (2004 or later) "Comparison of Dairy vs Beef Steers": 
Typical liveweight = 1,300 lbs
Holstein dressing yield = 59%
Peters: Beef dressing yield = 63%</t>
        </r>
      </text>
    </comment>
    <comment ref="B51" authorId="1">
      <text>
        <r>
          <rPr>
            <sz val="9"/>
            <rFont val="Tahoma"/>
            <family val="2"/>
          </rPr>
          <t>*for natural service, it should be 1 bull to 20-50 females. But for AI, it's way more. What would appropriate average be? (currently ~35% of dairy herd are natural service. It's more like 80-90% in the beef herd)</t>
        </r>
      </text>
    </comment>
    <comment ref="B47" authorId="0">
      <text>
        <r>
          <rPr>
            <sz val="9"/>
            <rFont val="Tahoma"/>
            <family val="2"/>
          </rPr>
          <t xml:space="preserve">0.3 cull rate is reportedly the industry standards.
</t>
        </r>
      </text>
    </comment>
    <comment ref="E43" authorId="0">
      <text>
        <r>
          <rPr>
            <sz val="9"/>
            <rFont val="Tahoma"/>
            <family val="2"/>
          </rPr>
          <t xml:space="preserve">This is for heifers &gt; 500 lbs. </t>
        </r>
      </text>
    </comment>
    <comment ref="J7" authorId="0">
      <text>
        <r>
          <rPr>
            <sz val="9"/>
            <rFont val="Tahoma"/>
            <family val="2"/>
          </rPr>
          <t xml:space="preserve">Peters, NY yields – alfalfa hay
1999: 4900
2000: 4600
2001: 4800
2002: 5600
2003: 4600
Average: 4900
DM: 4900*.87= 4263
</t>
        </r>
      </text>
    </comment>
    <comment ref="J6" authorId="0">
      <text>
        <r>
          <rPr>
            <sz val="9"/>
            <rFont val="Tahoma"/>
            <family val="2"/>
          </rPr>
          <t>NE NASS 2007-2011
Here we convert hay yields to dry matter yields, assuming 13% moisture content (NASS, Crop Production Annual Summary).</t>
        </r>
      </text>
    </comment>
    <comment ref="K6" authorId="0">
      <text>
        <r>
          <rPr>
            <sz val="9"/>
            <rFont val="Tahoma"/>
            <family val="2"/>
          </rPr>
          <t>NE NASS 2007-2011
Here we convert hay yields to dry matter yields, assuming 13% moisture content (NASS, Crop Production Annual Summary).</t>
        </r>
      </text>
    </comment>
    <comment ref="K7" authorId="0">
      <text>
        <r>
          <rPr>
            <sz val="9"/>
            <rFont val="Tahoma"/>
            <family val="2"/>
          </rPr>
          <t xml:space="preserve">Peters, NY yields – other hay
1999: 4100
2000: 3600
2001: 3800
2002: 3600
2003: 4200
Average: 3860
DM: 3860*.87= 3358
</t>
        </r>
      </text>
    </comment>
    <comment ref="R3" authorId="0">
      <text>
        <r>
          <rPr>
            <sz val="9"/>
            <rFont val="Tahoma"/>
            <family val="2"/>
          </rPr>
          <t>Missouri Extension: 1 bushel of soybeans (60 lbs)=48 lbs of soybean meal (http://agebb.missouri.edu/commag/crops/audit/pdfs/MissouriSoybeanFacts.pdf)
Soybean Yearbook: 5 year (2006-10) average yield of soybeans is 2,541 lbs/acre
Yield of soybean meal: 2,541 x (48/60) = 2,032.8</t>
        </r>
      </text>
    </comment>
    <comment ref="C18" authorId="0">
      <text>
        <r>
          <rPr>
            <sz val="9"/>
            <rFont val="Tahoma"/>
            <family val="2"/>
          </rPr>
          <t>NE NASS avg 2007-2011</t>
        </r>
      </text>
    </comment>
    <comment ref="B6" authorId="0">
      <text>
        <r>
          <rPr>
            <sz val="9"/>
            <rFont val="Tahoma"/>
            <family val="2"/>
          </rPr>
          <t>NE NASS average 2007-2011</t>
        </r>
      </text>
    </comment>
    <comment ref="D29" authorId="0">
      <text>
        <r>
          <rPr>
            <sz val="9"/>
            <rFont val="Tahoma"/>
            <family val="2"/>
          </rPr>
          <t xml:space="preserve">VT NASS average 2007-2011 </t>
        </r>
      </text>
    </comment>
    <comment ref="W19" authorId="0">
      <text>
        <r>
          <rPr>
            <sz val="9"/>
            <rFont val="Tahoma"/>
            <family val="2"/>
          </rPr>
          <t xml:space="preserve">Missouri Extension: 1 bushel of soybeans (60 lbs)=48 lbs of soybean meal (http://agebb.missouri.edu/commag/crops/audit/pdfs/MissouriSoybeanFacts.pdf)
Soybean Yearbook: 5 year (2006-10) average yield of soybeans is 2,541 lbs/acre
Yield of soybean meal: 2,541 x (48/60) = 2,032.8
</t>
        </r>
      </text>
    </comment>
  </commentList>
</comments>
</file>

<file path=xl/comments20.xml><?xml version="1.0" encoding="utf-8"?>
<comments xmlns="http://schemas.openxmlformats.org/spreadsheetml/2006/main">
  <authors>
    <author>Hannah Ramer</author>
  </authors>
  <commentList>
    <comment ref="D3" authorId="0">
      <text>
        <r>
          <rPr>
            <sz val="9"/>
            <rFont val="Tahoma"/>
            <family val="2"/>
          </rPr>
          <t>Hay is 87% DM (NE NASS)</t>
        </r>
      </text>
    </comment>
    <comment ref="G3" authorId="0">
      <text>
        <r>
          <rPr>
            <sz val="9"/>
            <rFont val="Tahoma"/>
            <family val="2"/>
          </rPr>
          <t>NE NASS Hay Yields 2007-2011
Here we convert hay yields to dry matter yields, assuming 13% moisture content (NASS, Crop Production Annual Summary).</t>
        </r>
      </text>
    </comment>
    <comment ref="X7" authorId="0">
      <text>
        <r>
          <rPr>
            <sz val="9"/>
            <rFont val="Tahoma"/>
            <family val="2"/>
          </rPr>
          <t xml:space="preserve">Missouri Extension: 1 bushel of soybeans (60 lbs)=48 lbs of soybean meal (http://agebb.missouri.edu/commag/crops/audit/pdfs/MissouriSoybeanFacts.pdf)
Soybean Yearbook: 5 year (2006-10) average yield of soybeans is 2,541 lbs/acre
Yield of soybean meal: 2,541 x (48/60) = 2,032.8
</t>
        </r>
      </text>
    </comment>
    <comment ref="X6" authorId="0">
      <text>
        <r>
          <rPr>
            <sz val="9"/>
            <rFont val="Tahoma"/>
            <family val="2"/>
          </rPr>
          <t xml:space="preserve">Missouri Extension: 1 bushel of soybeans (60 lbs)=48 lbs of soybean meal (http://agebb.missouri.edu/commag/crops/audit/pdfs/MissouriSoybeanFacts.pdf)
Soybean Yearbook: 5 year (2006-10) average yield of soybeans is 2,541 lbs/acre
Yield of soybean meal: 2,541 x (48/60) = 2,032.8
</t>
        </r>
      </text>
    </comment>
    <comment ref="X10" authorId="0">
      <text>
        <r>
          <rPr>
            <sz val="9"/>
            <rFont val="Tahoma"/>
            <family val="2"/>
          </rPr>
          <t xml:space="preserve">Missouri Extension: 1 bushel of soybeans (60 lbs)=48 lbs of soybean meal (http://agebb.missouri.edu/commag/crops/audit/pdfs/MissouriSoybeanFacts.pdf)
Soybean Yearbook: 5 year (2006-10) average yield of soybeans is 2,541 lbs/acre
Yield of soybean meal: 2,541 x (48/60) = 2,032.8
</t>
        </r>
      </text>
    </comment>
    <comment ref="X12" authorId="0">
      <text>
        <r>
          <rPr>
            <sz val="9"/>
            <rFont val="Tahoma"/>
            <family val="2"/>
          </rPr>
          <t xml:space="preserve">Missouri Extension: 1 bushel of soybeans (60 lbs)=48 lbs of soybean meal (http://agebb.missouri.edu/commag/crops/audit/pdfs/MissouriSoybeanFacts.pdf)
Soybean Yearbook: 5 year (2006-10) average yield of soybeans is 2,541 lbs/acre
Yield of soybean meal: 2,541 x (48/60) = 2,032.8
</t>
        </r>
      </text>
    </comment>
    <comment ref="D16" authorId="0">
      <text>
        <r>
          <rPr>
            <sz val="9"/>
            <rFont val="Tahoma"/>
            <family val="2"/>
          </rPr>
          <t>Hay is 87% DM (NE NASS)</t>
        </r>
      </text>
    </comment>
    <comment ref="G16" authorId="0">
      <text>
        <r>
          <rPr>
            <sz val="9"/>
            <rFont val="Tahoma"/>
            <family val="2"/>
          </rPr>
          <t>NE NASS Hay Yields 2007-2011
Here we convert hay yields to dry matter yields, assuming 13% moisture content (NASS, Crop Production Annual Summary).</t>
        </r>
      </text>
    </comment>
    <comment ref="X18" authorId="0">
      <text>
        <r>
          <rPr>
            <sz val="9"/>
            <rFont val="Tahoma"/>
            <family val="2"/>
          </rPr>
          <t xml:space="preserve">Missouri Extension: 1 bushel of soybeans (60 lbs)=48 lbs of soybean meal (http://agebb.missouri.edu/commag/crops/audit/pdfs/MissouriSoybeanFacts.pdf)
Soybean Yearbook: 5 year (2006-10) average yield of soybeans is 2,541 lbs/acre
Yield of soybean meal: 2,541 x (48/60) = 2,032.8
</t>
        </r>
      </text>
    </comment>
    <comment ref="AH48" authorId="0">
      <text>
        <r>
          <rPr>
            <sz val="9"/>
            <rFont val="Tahoma"/>
            <family val="2"/>
          </rPr>
          <t>1 lb grains per lamb being nursed</t>
        </r>
      </text>
    </comment>
    <comment ref="AH46" authorId="0">
      <text>
        <r>
          <rPr>
            <sz val="9"/>
            <rFont val="Tahoma"/>
            <family val="2"/>
          </rPr>
          <t xml:space="preserve">1 lb grain per fetus being carried
</t>
        </r>
      </text>
    </comment>
  </commentList>
</comments>
</file>

<file path=xl/comments21.xml><?xml version="1.0" encoding="utf-8"?>
<comments xmlns="http://schemas.openxmlformats.org/spreadsheetml/2006/main">
  <authors>
    <author>Hannah Ramer</author>
  </authors>
  <commentList>
    <comment ref="G4" authorId="0">
      <text>
        <r>
          <rPr>
            <sz val="9"/>
            <rFont val="Tahoma"/>
            <family val="2"/>
          </rPr>
          <t>NE NASS Hay Yields 2007-2011
Here we convert hay yields to dry matter yields, assuming 13% moisture content (NASS, Crop Production Annual Summary).</t>
        </r>
      </text>
    </comment>
    <comment ref="C4" authorId="0">
      <text>
        <r>
          <rPr>
            <sz val="9"/>
            <rFont val="Tahoma"/>
            <family val="2"/>
          </rPr>
          <t>Hay is 87% DM (NE NASS)</t>
        </r>
      </text>
    </comment>
    <comment ref="Y7" authorId="0">
      <text>
        <r>
          <rPr>
            <sz val="9"/>
            <rFont val="Tahoma"/>
            <family val="2"/>
          </rPr>
          <t>bushel of oats weighs 32 lbs</t>
        </r>
      </text>
    </comment>
    <comment ref="X6" authorId="0">
      <text>
        <r>
          <rPr>
            <sz val="9"/>
            <rFont val="Tahoma"/>
            <family val="2"/>
          </rPr>
          <t xml:space="preserve">Missouri Extension: 1 bushel of soybeans (60 lbs)=48 lbs of soybean meal (http://agebb.missouri.edu/commag/crops/audit/pdfs/MissouriSoybeanFacts.pdf)
Soybean Yearbook: 5 year (2006-10) average yield of soybeans is 2,541 lbs/acre
Yield of soybean meal: 2,541 x (48/60) = 2,032.8
</t>
        </r>
      </text>
    </comment>
    <comment ref="X7" authorId="0">
      <text>
        <r>
          <rPr>
            <sz val="9"/>
            <rFont val="Tahoma"/>
            <family val="2"/>
          </rPr>
          <t xml:space="preserve">Missouri Extension: 1 bushel of soybeans (60 lbs)=48 lbs of soybean meal (http://agebb.missouri.edu/commag/crops/audit/pdfs/MissouriSoybeanFacts.pdf)
Soybean Yearbook: 5 year (2006-10) average yield of soybeans is 2,541 lbs/acre
Yield of soybean meal: 2,541 x (48/60) = 2,032.8
</t>
        </r>
      </text>
    </comment>
    <comment ref="X8" authorId="0">
      <text>
        <r>
          <rPr>
            <sz val="9"/>
            <rFont val="Tahoma"/>
            <family val="2"/>
          </rPr>
          <t xml:space="preserve">Missouri Extension: 1 bushel of soybeans (60 lbs)=48 lbs of soybean meal (http://agebb.missouri.edu/commag/crops/audit/pdfs/MissouriSoybeanFacts.pdf)
Soybean Yearbook: 5 year (2006-10) average yield of soybeans is 2,541 lbs/acre
Yield of soybean meal: 2,541 x (48/60) = 2,032.8
</t>
        </r>
      </text>
    </comment>
  </commentList>
</comments>
</file>

<file path=xl/comments22.xml><?xml version="1.0" encoding="utf-8"?>
<comments xmlns="http://schemas.openxmlformats.org/spreadsheetml/2006/main">
  <authors>
    <author>Hannah Ramer</author>
  </authors>
  <commentList>
    <comment ref="Q6" authorId="0">
      <text>
        <r>
          <rPr>
            <sz val="9"/>
            <rFont val="Tahoma"/>
            <family val="2"/>
          </rPr>
          <t xml:space="preserve">Missouri Extension: 1 bushel of soybeans (60 lbs)=48 lbs of soybean meal (http://agebb.missouri.edu/commag/crops/audit/pdfs/MissouriSoybeanFacts.pdf)
Soybean Yearbook: 5 year (2006-10) average yield of soybeans is 2,541 lbs/acre
Yield of soybean meal: 2,541 x (48/60) = 2,032.8
</t>
        </r>
      </text>
    </comment>
    <comment ref="Q8" authorId="0">
      <text>
        <r>
          <rPr>
            <sz val="9"/>
            <rFont val="Tahoma"/>
            <family val="2"/>
          </rPr>
          <t xml:space="preserve">Missouri Extension: 1 bushel of soybeans (60 lbs)=48 lbs of soybean meal (http://agebb.missouri.edu/commag/crops/audit/pdfs/MissouriSoybeanFacts.pdf)
Soybean Yearbook: 5 year (2006-10) average yield of soybeans is 2,541 lbs/acre
Yield of soybean meal: 2,541 x (48/60) = 2,032.8
</t>
        </r>
      </text>
    </comment>
  </commentList>
</comments>
</file>

<file path=xl/comments23.xml><?xml version="1.0" encoding="utf-8"?>
<comments xmlns="http://schemas.openxmlformats.org/spreadsheetml/2006/main">
  <authors>
    <author>Hannah Ramer</author>
  </authors>
  <commentList>
    <comment ref="B11" authorId="0">
      <text>
        <r>
          <rPr>
            <sz val="9"/>
            <rFont val="Tahoma"/>
            <family val="2"/>
          </rPr>
          <t>Ag Census only reports broilers sold for CT, MA, ME, while NH, RI, VT were left out. Actual number is likely somewhat higher.
NE NASS does not report number of broilers in their annual publications.</t>
        </r>
      </text>
    </comment>
    <comment ref="B16" authorId="0">
      <text>
        <r>
          <rPr>
            <sz val="9"/>
            <rFont val="Tahoma"/>
            <family val="2"/>
          </rPr>
          <t>Ag Census 2007; does not include ME or RH</t>
        </r>
      </text>
    </comment>
    <comment ref="G3" authorId="0">
      <text>
        <r>
          <rPr>
            <sz val="9"/>
            <rFont val="Tahoma"/>
            <family val="2"/>
          </rPr>
          <t>NASS yearbook, 5 yr average from 2007/8 - 2011/12</t>
        </r>
      </text>
    </comment>
    <comment ref="M3" authorId="0">
      <text>
        <r>
          <rPr>
            <sz val="9"/>
            <rFont val="Tahoma"/>
            <family val="2"/>
          </rPr>
          <t>Missouri Extension: 1 bushel of soybeans (60 lbs)=48 lbs of soybean meal (http://agebb.missouri.edu/commag/crops/audit/pdfs/MissouriSoybeanFacts.pdf)
Soybean Yearbook: 5 year (2006-10) average yield of soybeans is 2,541 lbs/acre
Yield of soybean meal: 2,541 x (48/60) = 2,032.8</t>
        </r>
      </text>
    </comment>
    <comment ref="E16" authorId="0">
      <text>
        <r>
          <rPr>
            <sz val="9"/>
            <rFont val="Tahoma"/>
            <family val="2"/>
          </rPr>
          <t>Calculated</t>
        </r>
      </text>
    </comment>
    <comment ref="F16" authorId="0">
      <text>
        <r>
          <rPr>
            <sz val="9"/>
            <rFont val="Tahoma"/>
            <family val="2"/>
          </rPr>
          <t xml:space="preserve">Calculated
</t>
        </r>
      </text>
    </comment>
  </commentList>
</comments>
</file>

<file path=xl/comments24.xml><?xml version="1.0" encoding="utf-8"?>
<comments xmlns="http://schemas.openxmlformats.org/spreadsheetml/2006/main">
  <authors>
    <author>Hannah Ramer</author>
  </authors>
  <commentList>
    <comment ref="C3" authorId="0">
      <text>
        <r>
          <rPr>
            <sz val="9"/>
            <rFont val="Tahoma"/>
            <family val="2"/>
          </rPr>
          <t>Hay is 87% DM (NE NASS)</t>
        </r>
      </text>
    </comment>
    <comment ref="F3" authorId="0">
      <text>
        <r>
          <rPr>
            <sz val="9"/>
            <rFont val="Tahoma"/>
            <family val="2"/>
          </rPr>
          <t>NE NASS Hay Yields 2007-2011
Here we convert hay yields to dry matter yields, assuming 13% moisture content (NASS, Crop Production Annual Summary).</t>
        </r>
      </text>
    </comment>
    <comment ref="P5" authorId="0">
      <text>
        <r>
          <rPr>
            <sz val="9"/>
            <rFont val="Tahoma"/>
            <family val="2"/>
          </rPr>
          <t>NASS yearbook, 5 yr average from 2007/8 - 2011/12</t>
        </r>
      </text>
    </comment>
    <comment ref="Q5" authorId="0">
      <text>
        <r>
          <rPr>
            <sz val="9"/>
            <rFont val="Tahoma"/>
            <family val="2"/>
          </rPr>
          <t>5 yr average of national yields from USDA grain yearbooks. (62.54 bu x 32-lb bushel)</t>
        </r>
      </text>
    </comment>
    <comment ref="D5" authorId="0">
      <text>
        <r>
          <rPr>
            <sz val="9"/>
            <rFont val="Tahoma"/>
            <family val="2"/>
          </rPr>
          <t xml:space="preserve">4 quarts a day; half corn, half oats; 1 quart = 1.2 lbs
</t>
        </r>
      </text>
    </comment>
    <comment ref="E5" authorId="0">
      <text>
        <r>
          <rPr>
            <sz val="9"/>
            <rFont val="Tahoma"/>
            <family val="2"/>
          </rPr>
          <t xml:space="preserve">4 quarts a day; half corn, half oats; 1 quart = 1.2 lbs
</t>
        </r>
      </text>
    </comment>
    <comment ref="B5" authorId="0">
      <text>
        <r>
          <rPr>
            <sz val="9"/>
            <rFont val="Tahoma"/>
            <family val="2"/>
          </rPr>
          <t>2007 Ag Census</t>
        </r>
      </text>
    </comment>
  </commentList>
</comments>
</file>

<file path=xl/comments25.xml><?xml version="1.0" encoding="utf-8"?>
<comments xmlns="http://schemas.openxmlformats.org/spreadsheetml/2006/main">
  <authors>
    <author>Columbia University</author>
  </authors>
  <commentList>
    <comment ref="D20" authorId="0">
      <text>
        <r>
          <rPr>
            <sz val="9"/>
            <rFont val="Tahoma"/>
            <family val="2"/>
          </rPr>
          <t>From USDA National Nutrient Database for Standard Reference, Release 24</t>
        </r>
      </text>
    </comment>
  </commentList>
</comments>
</file>

<file path=xl/comments26.xml><?xml version="1.0" encoding="utf-8"?>
<comments xmlns="http://schemas.openxmlformats.org/spreadsheetml/2006/main">
  <authors>
    <author>Hannah Ramer</author>
  </authors>
  <commentList>
    <comment ref="I6" authorId="0">
      <text>
        <r>
          <rPr>
            <sz val="9"/>
            <rFont val="Tahoma"/>
            <family val="2"/>
          </rPr>
          <t xml:space="preserve">Source: Economic Research Service, </t>
        </r>
        <r>
          <rPr>
            <i/>
            <sz val="9"/>
            <rFont val="Tahoma"/>
            <family val="2"/>
          </rPr>
          <t xml:space="preserve">Weights and Measures, </t>
        </r>
        <r>
          <rPr>
            <sz val="9"/>
            <rFont val="Tahoma"/>
            <family val="2"/>
          </rPr>
          <t>1992.</t>
        </r>
      </text>
    </comment>
  </commentList>
</comments>
</file>

<file path=xl/comments27.xml><?xml version="1.0" encoding="utf-8"?>
<comments xmlns="http://schemas.openxmlformats.org/spreadsheetml/2006/main">
  <authors>
    <author>Hannah Ramer</author>
  </authors>
  <commentList>
    <comment ref="H17" authorId="0">
      <text>
        <r>
          <rPr>
            <b/>
            <sz val="9"/>
            <rFont val="Tahoma"/>
            <family val="2"/>
          </rPr>
          <t xml:space="preserve">Seed yield is 1575 lbs/ac. </t>
        </r>
        <r>
          <rPr>
            <sz val="9"/>
            <rFont val="Tahoma"/>
            <family val="2"/>
          </rPr>
          <t xml:space="preserve">
(Average for 2008-2012)
Source is USDA, NASS, QuickStats http://quickstats.nass.usda.gov/
</t>
        </r>
        <r>
          <rPr>
            <b/>
            <sz val="9"/>
            <rFont val="Tahoma"/>
            <family val="2"/>
          </rPr>
          <t xml:space="preserve">Seed is ~38-45% oil. </t>
        </r>
        <r>
          <rPr>
            <sz val="9"/>
            <rFont val="Tahoma"/>
            <family val="2"/>
          </rPr>
          <t xml:space="preserve">
Source: ERS, USDA "Canola" 2012, http://www.ers.usda.gov/topics/crops/soybeans-oil-crops/canola.aspx</t>
        </r>
      </text>
    </comment>
    <comment ref="H16" authorId="0">
      <text>
        <r>
          <rPr>
            <sz val="9"/>
            <rFont val="Tahoma"/>
            <family val="2"/>
          </rPr>
          <t xml:space="preserve">1 bushel of soybeans (60 lbs)=11 lbs of oil
Soybean Yearbook: 5 year (2006-10) average yield of soybeans is 2,541 lbs/acre
Yield of soybean meal: 2,541 x (11/60) =465.85
</t>
        </r>
      </text>
    </comment>
  </commentList>
</comments>
</file>

<file path=xl/comments28.xml><?xml version="1.0" encoding="utf-8"?>
<comments xmlns="http://schemas.openxmlformats.org/spreadsheetml/2006/main">
  <authors>
    <author>Hannah Ramer</author>
  </authors>
  <commentList>
    <comment ref="A19" authorId="0">
      <text>
        <r>
          <rPr>
            <sz val="9"/>
            <rFont val="Tahoma"/>
            <family val="2"/>
          </rPr>
          <t>avg 1997-2001 (ERS stopped keeping records after 2001)</t>
        </r>
      </text>
    </comment>
    <comment ref="A21" authorId="0">
      <text>
        <r>
          <rPr>
            <sz val="9"/>
            <rFont val="Tahoma"/>
            <family val="2"/>
          </rPr>
          <t>avg 1997-2001 (ERS stopped keeping records after 2001)</t>
        </r>
      </text>
    </comment>
  </commentList>
</comments>
</file>

<file path=xl/comments3.xml><?xml version="1.0" encoding="utf-8"?>
<comments xmlns="http://schemas.openxmlformats.org/spreadsheetml/2006/main">
  <authors>
    <author>Hannah Ramer</author>
  </authors>
  <commentList>
    <comment ref="E29" authorId="0">
      <text>
        <r>
          <rPr>
            <sz val="9"/>
            <rFont val="Tahoma"/>
            <family val="2"/>
          </rPr>
          <t>This is number of eggs/yr (not lbs/yr)</t>
        </r>
      </text>
    </comment>
  </commentList>
</comments>
</file>

<file path=xl/comments30.xml><?xml version="1.0" encoding="utf-8"?>
<comments xmlns="http://schemas.openxmlformats.org/spreadsheetml/2006/main">
  <authors>
    <author>Hannah Ramer</author>
  </authors>
  <commentList>
    <comment ref="F12" authorId="0">
      <text>
        <r>
          <rPr>
            <sz val="9"/>
            <rFont val="Tahoma"/>
            <family val="2"/>
          </rPr>
          <t>This assumes that 55% of sugar is beet, and 45% is cane. 
Source: www.ers.usda.gov/topics/crops/sugar-sweeteners/background.aspx</t>
        </r>
      </text>
    </comment>
  </commentList>
</comments>
</file>

<file path=xl/comments36.xml><?xml version="1.0" encoding="utf-8"?>
<comments xmlns="http://schemas.openxmlformats.org/spreadsheetml/2006/main">
  <authors>
    <author>Hannah Ramer</author>
  </authors>
  <commentList>
    <comment ref="C6" authorId="0">
      <text>
        <r>
          <rPr>
            <sz val="9"/>
            <rFont val="Tahoma"/>
            <family val="2"/>
          </rPr>
          <t>1 hectogram/hectare = .089217...pounds/acre</t>
        </r>
      </text>
    </comment>
    <comment ref="E6" authorId="0">
      <text>
        <r>
          <rPr>
            <sz val="9"/>
            <rFont val="Tahoma"/>
            <family val="2"/>
          </rPr>
          <t>1 hectogram/hectare = .089217...pounds/acre</t>
        </r>
      </text>
    </comment>
    <comment ref="G6" authorId="0">
      <text>
        <r>
          <rPr>
            <sz val="9"/>
            <rFont val="Tahoma"/>
            <family val="2"/>
          </rPr>
          <t>1 hectogram/hectare = .089217...pounds/acre</t>
        </r>
      </text>
    </comment>
    <comment ref="I6" authorId="0">
      <text>
        <r>
          <rPr>
            <sz val="9"/>
            <rFont val="Tahoma"/>
            <family val="2"/>
          </rPr>
          <t>1 hectogram/hectare = .089217...pounds/acre</t>
        </r>
      </text>
    </comment>
  </commentList>
</comments>
</file>

<file path=xl/comments4.xml><?xml version="1.0" encoding="utf-8"?>
<comments xmlns="http://schemas.openxmlformats.org/spreadsheetml/2006/main">
  <authors>
    <author>Hannah Ramer</author>
  </authors>
  <commentList>
    <comment ref="A98" authorId="0">
      <text>
        <r>
          <rPr>
            <sz val="9"/>
            <rFont val="Tahoma"/>
            <family val="2"/>
          </rPr>
          <t>USDA stopped collecting data on dried pears after 2005. This represents average from 2001-2005.</t>
        </r>
      </text>
    </comment>
    <comment ref="A166" authorId="0">
      <text>
        <r>
          <rPr>
            <sz val="9"/>
            <rFont val="Tahoma"/>
            <family val="2"/>
          </rPr>
          <t>avg 1997-2001 (ERS stopped keeping records after 2001)</t>
        </r>
      </text>
    </comment>
    <comment ref="A168" authorId="0">
      <text>
        <r>
          <rPr>
            <sz val="9"/>
            <rFont val="Tahoma"/>
            <family val="2"/>
          </rPr>
          <t>avg 1997-2001 (ERS stopped keeping records after 2001)</t>
        </r>
      </text>
    </comment>
  </commentList>
</comments>
</file>

<file path=xl/comments6.xml><?xml version="1.0" encoding="utf-8"?>
<comments xmlns="http://schemas.openxmlformats.org/spreadsheetml/2006/main">
  <authors>
    <author>Columbia University</author>
  </authors>
  <commentList>
    <comment ref="A17" authorId="0">
      <text>
        <r>
          <rPr>
            <sz val="9"/>
            <rFont val="Tahoma"/>
            <family val="2"/>
          </rPr>
          <t>Not exactly clear from ERS and USDA as to whether or not to count this as 'Dark Green' or as 'Other'</t>
        </r>
      </text>
    </comment>
    <comment ref="A100" authorId="0">
      <text>
        <r>
          <rPr>
            <sz val="9"/>
            <rFont val="Tahoma"/>
            <family val="2"/>
          </rPr>
          <t xml:space="preserve">Unclear from ERS and USDA as to whether or not to count this as 'Dark Green' or 'Other'. Decided to put it under other, because an Amber Waves article described head lettuce as being largely iceberg.
</t>
        </r>
      </text>
    </comment>
  </commentList>
</comments>
</file>

<file path=xl/comments7.xml><?xml version="1.0" encoding="utf-8"?>
<comments xmlns="http://schemas.openxmlformats.org/spreadsheetml/2006/main">
  <authors>
    <author>Columbia University</author>
  </authors>
  <commentList>
    <comment ref="J2" authorId="0">
      <text>
        <r>
          <rPr>
            <b/>
            <sz val="9"/>
            <rFont val="Tahoma"/>
            <family val="2"/>
          </rPr>
          <t>This is what we're currently using</t>
        </r>
        <r>
          <rPr>
            <sz val="9"/>
            <rFont val="Tahoma"/>
            <family val="2"/>
          </rPr>
          <t xml:space="preserve">
</t>
        </r>
      </text>
    </comment>
    <comment ref="L2" authorId="0">
      <text>
        <r>
          <rPr>
            <b/>
            <sz val="9"/>
            <rFont val="Tahoma"/>
            <family val="2"/>
          </rPr>
          <t xml:space="preserve">This assumes that each crop where there is yield info is consumed in equal poundage within each group. This is of course, not true. </t>
        </r>
        <r>
          <rPr>
            <sz val="9"/>
            <rFont val="Tahoma"/>
            <family val="2"/>
          </rPr>
          <t xml:space="preserve">
</t>
        </r>
      </text>
    </comment>
    <comment ref="M2" authorId="0">
      <text>
        <r>
          <rPr>
            <b/>
            <sz val="9"/>
            <rFont val="Tahoma"/>
            <family val="2"/>
          </rPr>
          <t xml:space="preserve">This assumes that each crop where there is yield info is consumed in equal poundage within each group. This is of course, not true. </t>
        </r>
        <r>
          <rPr>
            <sz val="9"/>
            <rFont val="Tahoma"/>
            <family val="2"/>
          </rPr>
          <t xml:space="preserve">
</t>
        </r>
      </text>
    </comment>
    <comment ref="N2" authorId="0">
      <text>
        <r>
          <rPr>
            <b/>
            <sz val="9"/>
            <rFont val="Tahoma"/>
            <family val="2"/>
          </rPr>
          <t xml:space="preserve">This assumes that each crop where there is yield info is consumed in equal poundage within each group. This is of course, not true. </t>
        </r>
      </text>
    </comment>
    <comment ref="O2" authorId="0">
      <text>
        <r>
          <rPr>
            <b/>
            <sz val="9"/>
            <rFont val="Tahoma"/>
            <family val="2"/>
          </rPr>
          <t xml:space="preserve">This assumes that each crop where there is yield info is consumed in equal poundage within each group. This is of course, not true. </t>
        </r>
        <r>
          <rPr>
            <sz val="9"/>
            <rFont val="Tahoma"/>
            <family val="2"/>
          </rPr>
          <t xml:space="preserve">
</t>
        </r>
      </text>
    </comment>
    <comment ref="P2" authorId="0">
      <text>
        <r>
          <rPr>
            <b/>
            <sz val="9"/>
            <rFont val="Tahoma"/>
            <family val="2"/>
          </rPr>
          <t>Where is this info available?</t>
        </r>
        <r>
          <rPr>
            <sz val="9"/>
            <rFont val="Tahoma"/>
            <family val="2"/>
          </rPr>
          <t xml:space="preserve">
</t>
        </r>
      </text>
    </comment>
    <comment ref="J18" authorId="0">
      <text>
        <r>
          <rPr>
            <sz val="9"/>
            <rFont val="Tahoma"/>
            <family val="2"/>
          </rPr>
          <t xml:space="preserve">This would not have included tomatoes
</t>
        </r>
      </text>
    </comment>
    <comment ref="O21" authorId="0">
      <text>
        <r>
          <rPr>
            <sz val="9"/>
            <rFont val="Tahoma"/>
            <family val="2"/>
          </rPr>
          <t xml:space="preserve">Slicing tomatoes. (Yields for cherry and plum are lower - 17,388 and 12,420 respectively)
</t>
        </r>
      </text>
    </comment>
    <comment ref="J31" authorId="0">
      <text>
        <r>
          <rPr>
            <sz val="9"/>
            <rFont val="Tahoma"/>
            <family val="2"/>
          </rPr>
          <t>This would've included tomatoes</t>
        </r>
      </text>
    </comment>
    <comment ref="W28" authorId="0">
      <text>
        <r>
          <rPr>
            <sz val="9"/>
            <rFont val="Tahoma"/>
            <family val="2"/>
          </rPr>
          <t>USDA standard weight for one dozen ears of corn is 8.5 lbs</t>
        </r>
      </text>
    </comment>
  </commentList>
</comments>
</file>

<file path=xl/comments8.xml><?xml version="1.0" encoding="utf-8"?>
<comments xmlns="http://schemas.openxmlformats.org/spreadsheetml/2006/main">
  <authors>
    <author>Columbia University</author>
  </authors>
  <commentList>
    <comment ref="G9" authorId="0">
      <text>
        <r>
          <rPr>
            <b/>
            <sz val="9"/>
            <rFont val="Tahoma"/>
            <family val="2"/>
          </rPr>
          <t xml:space="preserve">Source: </t>
        </r>
        <r>
          <rPr>
            <sz val="9"/>
            <rFont val="Tahoma"/>
            <family val="2"/>
          </rPr>
          <t>Conversion factor from ERS Food Availability Data Series, average consumption from 2005-2009</t>
        </r>
      </text>
    </comment>
    <comment ref="J9" authorId="0">
      <text>
        <r>
          <rPr>
            <b/>
            <sz val="9"/>
            <rFont val="Tahoma"/>
            <family val="2"/>
          </rPr>
          <t xml:space="preserve">Source: </t>
        </r>
        <r>
          <rPr>
            <sz val="9"/>
            <rFont val="Tahoma"/>
            <family val="2"/>
          </rPr>
          <t>New England Agricultural Statistics Service - NASS - USDA</t>
        </r>
      </text>
    </comment>
  </commentList>
</comments>
</file>

<file path=xl/comments9.xml><?xml version="1.0" encoding="utf-8"?>
<comments xmlns="http://schemas.openxmlformats.org/spreadsheetml/2006/main">
  <authors>
    <author>Hannah Ramer</author>
  </authors>
  <commentList>
    <comment ref="A50" authorId="0">
      <text>
        <r>
          <rPr>
            <sz val="9"/>
            <rFont val="Tahoma"/>
            <family val="2"/>
          </rPr>
          <t>USDA stopped collecting data on dried pears after 2005. This represents average from 2001-2005.</t>
        </r>
      </text>
    </comment>
  </commentList>
</comments>
</file>

<file path=xl/sharedStrings.xml><?xml version="1.0" encoding="utf-8"?>
<sst xmlns="http://schemas.openxmlformats.org/spreadsheetml/2006/main" count="2729" uniqueCount="1388">
  <si>
    <t>Crop</t>
  </si>
  <si>
    <t>Cropland</t>
  </si>
  <si>
    <t>Pasture</t>
  </si>
  <si>
    <t>Needed</t>
  </si>
  <si>
    <t>Beer</t>
  </si>
  <si>
    <t>Blueberry</t>
  </si>
  <si>
    <t>Cranberry</t>
  </si>
  <si>
    <t>Wine</t>
  </si>
  <si>
    <t>Veg oil</t>
  </si>
  <si>
    <t>Sugar</t>
  </si>
  <si>
    <t>Sheep, goats -- grain</t>
  </si>
  <si>
    <t>Hens -- grain</t>
  </si>
  <si>
    <t>Broilers -- grain</t>
  </si>
  <si>
    <t>Turkeys -- grain</t>
  </si>
  <si>
    <t>Human grain subtotal</t>
  </si>
  <si>
    <t>Feed grain subtotal</t>
  </si>
  <si>
    <t>Dairy -- grain</t>
  </si>
  <si>
    <t>Hay &amp; Pasture subtotals</t>
  </si>
  <si>
    <t>New Eng</t>
  </si>
  <si>
    <t>Totals</t>
  </si>
  <si>
    <t>Veg - green &amp; leafy</t>
  </si>
  <si>
    <t>Veg - "other"</t>
  </si>
  <si>
    <t>Veg - starchy</t>
  </si>
  <si>
    <t>tomatoes, cukes, etc</t>
  </si>
  <si>
    <t>potatoes, sweet corn</t>
  </si>
  <si>
    <t>carrots, winter squash</t>
  </si>
  <si>
    <t>lettuce, greens, broccoli</t>
  </si>
  <si>
    <t>Veg subtotal</t>
  </si>
  <si>
    <t>Fruits subtotal</t>
  </si>
  <si>
    <t>Veg - orange &amp; red</t>
  </si>
  <si>
    <t>cows</t>
  </si>
  <si>
    <t>MSU example</t>
  </si>
  <si>
    <t>Annual per cow produciton</t>
  </si>
  <si>
    <t>lbs/yr</t>
  </si>
  <si>
    <t>Total prod</t>
  </si>
  <si>
    <t>butterfat</t>
  </si>
  <si>
    <t>1% milk (lbs)</t>
  </si>
  <si>
    <t>cream (lbs)</t>
  </si>
  <si>
    <t xml:space="preserve">Percent butterfat </t>
  </si>
  <si>
    <t>%</t>
  </si>
  <si>
    <t>butter</t>
  </si>
  <si>
    <t>buttermilk</t>
  </si>
  <si>
    <t xml:space="preserve">Total whole milk prod </t>
  </si>
  <si>
    <t>gal/yr</t>
  </si>
  <si>
    <t>Cream</t>
  </si>
  <si>
    <t>weight of butterfat in cream</t>
  </si>
  <si>
    <t>weight of water and milk solids in cream</t>
  </si>
  <si>
    <t>Conversion factor</t>
  </si>
  <si>
    <t>Beverage Milk</t>
  </si>
  <si>
    <t>weight of cream</t>
  </si>
  <si>
    <t>cups</t>
  </si>
  <si>
    <t>TC</t>
  </si>
  <si>
    <t>yearly gallons per capita</t>
  </si>
  <si>
    <t>gallons</t>
  </si>
  <si>
    <t xml:space="preserve">total, after loss </t>
  </si>
  <si>
    <t xml:space="preserve">total, before loss </t>
  </si>
  <si>
    <t>L =</t>
  </si>
  <si>
    <t>From ERS. In their accounting, all loss occurs at the household level.</t>
  </si>
  <si>
    <t>total, before loss</t>
  </si>
  <si>
    <t>lbs</t>
  </si>
  <si>
    <t xml:space="preserve">1 Gal = </t>
  </si>
  <si>
    <t>8.6 lbs</t>
  </si>
  <si>
    <t>Standard milk weight conversion</t>
  </si>
  <si>
    <t>weight of whole milk (with cream)</t>
  </si>
  <si>
    <t>C/W =</t>
  </si>
  <si>
    <t>Percent of total production for Bev Milk</t>
  </si>
  <si>
    <t>Cream from Beverage Milk</t>
  </si>
  <si>
    <t>Will be used to produce ice cream, butter, true buttermilk</t>
  </si>
  <si>
    <t>Ice cream</t>
  </si>
  <si>
    <t>daily serv per capita</t>
  </si>
  <si>
    <t>serv</t>
  </si>
  <si>
    <t>Current consumption of frozen (and misc) dairy products is 0.101 servings/day (1 serving = 1.5 cups)</t>
  </si>
  <si>
    <t>yearly pounds per capita</t>
  </si>
  <si>
    <t xml:space="preserve"> Going between volume and weight is tricky because of variable 'overun' (most commercial ice cream has overun ~100%, premium has less). ERS uses conversion factor of 173.813... going from serv/day to lbs/yr that helps us side step it!</t>
  </si>
  <si>
    <t>total, after loss</t>
  </si>
  <si>
    <t>From ERS</t>
  </si>
  <si>
    <t>Weight of cream</t>
  </si>
  <si>
    <t>Portion of cream used for ice cream</t>
  </si>
  <si>
    <t>Weight of milk</t>
  </si>
  <si>
    <t>Portion of whole milk used for ice cream</t>
  </si>
  <si>
    <t>This assumes no add-ins</t>
  </si>
  <si>
    <t>Cream remaining for butter &amp; buttermilk</t>
  </si>
  <si>
    <t>Left over after cream for ice cream is taken out</t>
  </si>
  <si>
    <t>Butter</t>
  </si>
  <si>
    <t>Quarts of milk</t>
  </si>
  <si>
    <t>quart = X lbs</t>
  </si>
  <si>
    <t>lbs of milk</t>
  </si>
  <si>
    <t>lbs of butter if 3.5% and skimmed all the way</t>
  </si>
  <si>
    <t>lbs of butter if 4% butterfat and milk skimmed to 1%</t>
  </si>
  <si>
    <t>After loss</t>
  </si>
  <si>
    <t>daily ounces per capita</t>
  </si>
  <si>
    <t>oz</t>
  </si>
  <si>
    <t>Current butter consum=</t>
  </si>
  <si>
    <t>2060 diet has</t>
  </si>
  <si>
    <t>more butter</t>
  </si>
  <si>
    <t>Current butter &amp; margarine =</t>
  </si>
  <si>
    <t>True buttermilk</t>
  </si>
  <si>
    <t>(As opposed to cultured buttermilk)</t>
  </si>
  <si>
    <t xml:space="preserve">yearly pounds per capita </t>
  </si>
  <si>
    <t>ERS conv from lbs/yr to cups/day =</t>
  </si>
  <si>
    <t>Current cultured buttermilk consum=</t>
  </si>
  <si>
    <t xml:space="preserve">Yogurt </t>
  </si>
  <si>
    <t>daily cups per capita</t>
  </si>
  <si>
    <t>ERS conversion  from cups/day to lbs/yr =</t>
  </si>
  <si>
    <t>Total after loss (lbs)</t>
  </si>
  <si>
    <t>Total before loss (lbs)</t>
  </si>
  <si>
    <t>L=</t>
  </si>
  <si>
    <t>Whole milk required (lbs)</t>
  </si>
  <si>
    <t>Portion of total production</t>
  </si>
  <si>
    <t>Cheese</t>
  </si>
  <si>
    <t>Portion of whole milk used for cheese</t>
  </si>
  <si>
    <t>Milk for cheese</t>
  </si>
  <si>
    <t xml:space="preserve">L = </t>
  </si>
  <si>
    <t>1 serv= 1.5 oz</t>
  </si>
  <si>
    <t>daily servings per capita</t>
  </si>
  <si>
    <t>Current cheese consm=</t>
  </si>
  <si>
    <t>cheddar =0.24 serv, mozzarella = 0.25 serv</t>
  </si>
  <si>
    <t>Whey from cheese</t>
  </si>
  <si>
    <t>Total Dairy Consumption in 2060 Diet</t>
  </si>
  <si>
    <t>This counts beverage milk + ice cream + buttermilk + yogurt + cheese</t>
  </si>
  <si>
    <t>Availability, Loss-Adjusted Per Capita</t>
  </si>
  <si>
    <t>Yearly</t>
  </si>
  <si>
    <t>Current</t>
  </si>
  <si>
    <t>Loss</t>
  </si>
  <si>
    <t>Animals</t>
  </si>
  <si>
    <t>#</t>
  </si>
  <si>
    <t>Beef</t>
  </si>
  <si>
    <t>Lamb</t>
  </si>
  <si>
    <t>Pork</t>
  </si>
  <si>
    <t>Chicken</t>
  </si>
  <si>
    <t>Turkey</t>
  </si>
  <si>
    <t>Eggs</t>
  </si>
  <si>
    <t>Subtotal</t>
  </si>
  <si>
    <t>Peanuts</t>
  </si>
  <si>
    <t>Total</t>
  </si>
  <si>
    <t>Ac needed</t>
  </si>
  <si>
    <t>Grain</t>
  </si>
  <si>
    <t>Oz/day</t>
  </si>
  <si>
    <t>lbs grain/yr</t>
  </si>
  <si>
    <t>Whole wheat</t>
  </si>
  <si>
    <t>Corn</t>
  </si>
  <si>
    <t>Brown Rice</t>
  </si>
  <si>
    <t>Grain total</t>
  </si>
  <si>
    <t>serv/day</t>
  </si>
  <si>
    <t>Starchy</t>
  </si>
  <si>
    <t>Other</t>
  </si>
  <si>
    <t>n.d.</t>
  </si>
  <si>
    <t>Broccoli</t>
  </si>
  <si>
    <t>D</t>
  </si>
  <si>
    <t>2,000-6,200</t>
  </si>
  <si>
    <t>Cabbage</t>
  </si>
  <si>
    <t>Carrots</t>
  </si>
  <si>
    <t>Eggplant</t>
  </si>
  <si>
    <t>Potatoes</t>
  </si>
  <si>
    <t>Spinach</t>
  </si>
  <si>
    <t>Tomatoes</t>
  </si>
  <si>
    <t>Fresh</t>
  </si>
  <si>
    <t>Canned</t>
  </si>
  <si>
    <t>Frozen</t>
  </si>
  <si>
    <t>-</t>
  </si>
  <si>
    <t>Collards</t>
  </si>
  <si>
    <t>Kale</t>
  </si>
  <si>
    <t>Sweet potatoes</t>
  </si>
  <si>
    <t>Cauliflower</t>
  </si>
  <si>
    <t>Celery</t>
  </si>
  <si>
    <t>Cucumbers</t>
  </si>
  <si>
    <t>Onions</t>
  </si>
  <si>
    <t>Dried</t>
  </si>
  <si>
    <t>Total Availability</t>
  </si>
  <si>
    <t>Apples</t>
  </si>
  <si>
    <t>lbs/ac</t>
  </si>
  <si>
    <t>Blueberries</t>
  </si>
  <si>
    <t>Cranberries</t>
  </si>
  <si>
    <t>Grapes</t>
  </si>
  <si>
    <t>Juice</t>
  </si>
  <si>
    <t>Pears</t>
  </si>
  <si>
    <t>Raspberries</t>
  </si>
  <si>
    <t>Strawberries</t>
  </si>
  <si>
    <t>Watermelon</t>
  </si>
  <si>
    <t>2060 Population</t>
  </si>
  <si>
    <t>Population</t>
  </si>
  <si>
    <r>
      <t xml:space="preserve">[C/W=(%B-%M)*X] where C is the weight of 40% cream skimmed off, W is weight of whole milk, %B is percent butterfat, %M is the % bf the beverage milk is left with, and X is a conversion factor </t>
    </r>
    <r>
      <rPr>
        <sz val="11"/>
        <color indexed="10"/>
        <rFont val="Calibri"/>
        <family val="2"/>
      </rPr>
      <t xml:space="preserve">derived from numbers from MSU example (weight of cream divided by weight of butterfat) </t>
    </r>
  </si>
  <si>
    <t>Meat &amp; Protein</t>
  </si>
  <si>
    <t>Dry Beans &amp; Peas (veg)</t>
  </si>
  <si>
    <t>Dry Beans &amp; Peas (protein)</t>
  </si>
  <si>
    <t>Beans subtotal</t>
  </si>
  <si>
    <t>Farmland</t>
  </si>
  <si>
    <t>Non-</t>
  </si>
  <si>
    <t>Tree nuts</t>
  </si>
  <si>
    <t>Broilers</t>
  </si>
  <si>
    <t>Yield</t>
  </si>
  <si>
    <t xml:space="preserve">ac </t>
  </si>
  <si>
    <t>Added Sweetners</t>
  </si>
  <si>
    <t>Total Population</t>
  </si>
  <si>
    <r>
      <t>Primary weight</t>
    </r>
    <r>
      <rPr>
        <vertAlign val="superscript"/>
        <sz val="8"/>
        <rFont val="Arial"/>
        <family val="2"/>
      </rPr>
      <t>2</t>
    </r>
  </si>
  <si>
    <t>Loss from primary to retail weight</t>
  </si>
  <si>
    <t>Retail weight</t>
  </si>
  <si>
    <t>Loss from retail/ institutional to consumer level</t>
  </si>
  <si>
    <t>Consumer weight</t>
  </si>
  <si>
    <t>Loss at consumer level</t>
  </si>
  <si>
    <t>Total loss, all levels</t>
  </si>
  <si>
    <t>Per capita availability adjusted for loss</t>
  </si>
  <si>
    <r>
      <t>Calories available daily</t>
    </r>
    <r>
      <rPr>
        <vertAlign val="superscript"/>
        <sz val="8"/>
        <rFont val="Arial"/>
        <family val="2"/>
      </rPr>
      <t>4</t>
    </r>
  </si>
  <si>
    <t>Nonedible share</t>
  </si>
  <si>
    <t>Other (cooking loss and uneaten food)</t>
  </si>
  <si>
    <t>Grams</t>
  </si>
  <si>
    <t>Cups</t>
  </si>
  <si>
    <t>Peaches</t>
  </si>
  <si>
    <t>Dairy</t>
  </si>
  <si>
    <t>Consumption - serv/day</t>
  </si>
  <si>
    <t>Input/Output Data of Peters et al (2005) Ag Foodprint - NY</t>
  </si>
  <si>
    <t>New England NASS</t>
  </si>
  <si>
    <t>National NASS</t>
  </si>
  <si>
    <t>Waltham Fields</t>
  </si>
  <si>
    <t>Brookfield Farm</t>
  </si>
  <si>
    <t>No of rows/bed on 6 ft cntr.</t>
  </si>
  <si>
    <t>No of row feet/ac</t>
  </si>
  <si>
    <t>Yield per 100 ft</t>
  </si>
  <si>
    <t>Johnny's Selected Seeds (transplants)</t>
  </si>
  <si>
    <t>Vern G. #s, U VT - Ext (medium)</t>
  </si>
  <si>
    <t>Weighted average</t>
  </si>
  <si>
    <t>1999-2003 avg</t>
  </si>
  <si>
    <t>2005-2009 avg</t>
  </si>
  <si>
    <t>rows/bed</t>
  </si>
  <si>
    <t>ft/ac</t>
  </si>
  <si>
    <t>Lettuce</t>
  </si>
  <si>
    <t>Romaine</t>
  </si>
  <si>
    <t>Chard, swiss?</t>
  </si>
  <si>
    <t>Not included</t>
  </si>
  <si>
    <t>Greens (brookfield)</t>
  </si>
  <si>
    <t>Squash, winter</t>
  </si>
  <si>
    <t>Pumpkins</t>
  </si>
  <si>
    <t>Peas, green - processed</t>
  </si>
  <si>
    <t>Corn, sweet</t>
  </si>
  <si>
    <t>*1200 dz</t>
  </si>
  <si>
    <t>*1000 dz</t>
  </si>
  <si>
    <t>Corn, sweet - processed</t>
  </si>
  <si>
    <t>Beets, fresh &amp; processed</t>
  </si>
  <si>
    <t>Bell Peppers</t>
  </si>
  <si>
    <t>Beans, snap - Fresh</t>
  </si>
  <si>
    <t>Beans, snap - processd</t>
  </si>
  <si>
    <t>Zucchini / Summer Squash</t>
  </si>
  <si>
    <t>Brussels' sprouts</t>
  </si>
  <si>
    <t>Celeriac</t>
  </si>
  <si>
    <t>Garlic</t>
  </si>
  <si>
    <t>Leek</t>
  </si>
  <si>
    <t>32550 stalks</t>
  </si>
  <si>
    <t>Parsnip</t>
  </si>
  <si>
    <t>Radicchio</t>
  </si>
  <si>
    <t>Radish</t>
  </si>
  <si>
    <t>Rutabaga</t>
  </si>
  <si>
    <t>Scallion</t>
  </si>
  <si>
    <t>Turnip</t>
  </si>
  <si>
    <t>2006-2010 avg</t>
  </si>
  <si>
    <t>Drybeans</t>
  </si>
  <si>
    <t>Dry Peas</t>
  </si>
  <si>
    <t>Lentils</t>
  </si>
  <si>
    <t>Dry peas and lentils subtotal</t>
  </si>
  <si>
    <t>Soybeans</t>
  </si>
  <si>
    <t xml:space="preserve">NOTE: </t>
  </si>
  <si>
    <t>(1) Crop level data was not available for every crop from all sources, so the subgroup level averages for each source are based on slightly different crops -esp when comparing to Waltham Community Fields</t>
  </si>
  <si>
    <t>(2) Averaging yields within each subgroup assumes that individual crops in each subgroup are consumed in equal weights. It's unclear whether or not this is how Buzby et al did their calculations.</t>
  </si>
  <si>
    <t>(3) The Buzby numbers are based on slightly different subgroupings of vegetables (eg. Buzby has tomatoes in 'Other', while now they are considered to be in 'Red/Orange')</t>
  </si>
  <si>
    <t>2/3rds of National Yields from Buzby et al (2006)</t>
  </si>
  <si>
    <t>x</t>
  </si>
  <si>
    <t>Dark &amp; Leafy</t>
  </si>
  <si>
    <t>Red &amp; Orange</t>
  </si>
  <si>
    <t>Beans &amp; Peas</t>
  </si>
  <si>
    <t>Total Veg</t>
  </si>
  <si>
    <t>1,000 ac</t>
  </si>
  <si>
    <t>lbs/y/cap</t>
  </si>
  <si>
    <t xml:space="preserve">conversion factor: after-loss serv/day to before-loss lbs/yr </t>
  </si>
  <si>
    <t>Agricultural Footprint</t>
  </si>
  <si>
    <t>Total Fruit</t>
  </si>
  <si>
    <t>Tropical Fruit</t>
  </si>
  <si>
    <t>Agricultural Footprint of fruit for all uses</t>
  </si>
  <si>
    <t>Source: ERS/USDA Loss Adjusted Food Availability Data Series</t>
  </si>
  <si>
    <t>Milking cows</t>
  </si>
  <si>
    <t>Milk</t>
  </si>
  <si>
    <t>Blueberries*cultivated</t>
  </si>
  <si>
    <t>Maine Blueberries*wild</t>
  </si>
  <si>
    <t>Cherries, sweet and tart</t>
  </si>
  <si>
    <t>Canteloupe</t>
  </si>
  <si>
    <t>Daily</t>
  </si>
  <si>
    <t>Weekly</t>
  </si>
  <si>
    <t>Food</t>
  </si>
  <si>
    <t>Amount</t>
  </si>
  <si>
    <t>cukes, onions, summer squash, green beans</t>
  </si>
  <si>
    <t>Veg - red &amp; orange</t>
  </si>
  <si>
    <t>tomatoes, carrots, winter squash</t>
  </si>
  <si>
    <t>Veg subtotal (cups)</t>
  </si>
  <si>
    <t>USDA rec 3 cups/day.  Current consumption is 1.67 cups/day</t>
  </si>
  <si>
    <t>NE whole fruit</t>
  </si>
  <si>
    <t>NE fruit juice</t>
  </si>
  <si>
    <t>apple juice/cider, cran/blue flavored juice</t>
  </si>
  <si>
    <t>Imported whole fruit</t>
  </si>
  <si>
    <t>oranges, grapefuit, bananas, avacado</t>
  </si>
  <si>
    <t>Imported fruit juice</t>
  </si>
  <si>
    <t>mostly orange juice, also grapefuit, pineapple</t>
  </si>
  <si>
    <t>Fruits subtotal (cups)</t>
  </si>
  <si>
    <t>USDA rec is 2 cups/day.  Current consumption is  0.84 cups/day</t>
  </si>
  <si>
    <t>NE Fruit wine, Hard cider</t>
  </si>
  <si>
    <t>?</t>
  </si>
  <si>
    <t>7.5 oz</t>
  </si>
  <si>
    <t>3.3 lb</t>
  </si>
  <si>
    <t>172 lbs</t>
  </si>
  <si>
    <t>oz-eq/d</t>
  </si>
  <si>
    <t>oz-eq/wk</t>
  </si>
  <si>
    <t>Seafood</t>
  </si>
  <si>
    <t>Protein subtotal</t>
  </si>
  <si>
    <t>cup</t>
  </si>
  <si>
    <t>Yogurt</t>
  </si>
  <si>
    <t>Dairy subtotal</t>
  </si>
  <si>
    <t xml:space="preserve">current 1.7 cups/day.  USDA rec 3 cups/day, Harvard rec 1-2 cups. </t>
  </si>
  <si>
    <t>g fat/day</t>
  </si>
  <si>
    <t>g fat/wk</t>
  </si>
  <si>
    <t>cal/day</t>
  </si>
  <si>
    <t>Fat in cheese</t>
  </si>
  <si>
    <t>Assumes all fat stays in cheese. Some goes with the whey, but it's very small amount</t>
  </si>
  <si>
    <t>Fat in ice cream</t>
  </si>
  <si>
    <t>Assumes butterfat of 14.5% (Ice cream is usually 10-16% butterfat)</t>
  </si>
  <si>
    <t>Fat in milk</t>
  </si>
  <si>
    <t>Fat in yogurt</t>
  </si>
  <si>
    <t>Pig fat</t>
  </si>
  <si>
    <t>Fat from animal products</t>
  </si>
  <si>
    <t>Vegetables - Yield Estimates</t>
  </si>
  <si>
    <t>Fruit - Yield Estimates</t>
  </si>
  <si>
    <t>Fruits:  Agricultural footprint &amp; projected consumption</t>
  </si>
  <si>
    <t>Dairy: Consumption targets and projected production</t>
  </si>
  <si>
    <t>Per capita</t>
  </si>
  <si>
    <t>Total (HCW)</t>
  </si>
  <si>
    <t>lbs/y</t>
  </si>
  <si>
    <t>Alcohol</t>
  </si>
  <si>
    <t xml:space="preserve">Total availability </t>
  </si>
  <si>
    <t xml:space="preserve">ac  </t>
  </si>
  <si>
    <t>Milk prod per cow</t>
  </si>
  <si>
    <t># of milkers</t>
  </si>
  <si>
    <t>Total # of cows (potential milkers)</t>
  </si>
  <si>
    <t>Actual Milkers</t>
  </si>
  <si>
    <t>Bulls</t>
  </si>
  <si>
    <t>Calves</t>
  </si>
  <si>
    <t>Dairy cows bred to dairy bulls:</t>
  </si>
  <si>
    <t>yields</t>
  </si>
  <si>
    <t>dairy bulls</t>
  </si>
  <si>
    <t xml:space="preserve">Dairy cows bred to beef bulls: </t>
  </si>
  <si>
    <t>HCW</t>
  </si>
  <si>
    <t>cull dairy cow</t>
  </si>
  <si>
    <t>cull dairy sires</t>
  </si>
  <si>
    <t>dairy x beef stock</t>
  </si>
  <si>
    <t>Breeding success rate</t>
  </si>
  <si>
    <t>beef stock</t>
  </si>
  <si>
    <t>Offspring survival to adulthood</t>
  </si>
  <si>
    <t>cull beef cow</t>
  </si>
  <si>
    <t>Female Replacement rate</t>
  </si>
  <si>
    <t>cull beef bull</t>
  </si>
  <si>
    <t>Female age at first parity</t>
  </si>
  <si>
    <t>Male to female ratio</t>
  </si>
  <si>
    <t>Male age at sexual maturity</t>
  </si>
  <si>
    <t>Male replacement rate</t>
  </si>
  <si>
    <t>Salvage rate</t>
  </si>
  <si>
    <t>Harvest</t>
  </si>
  <si>
    <t>Total Milk Prod</t>
  </si>
  <si>
    <t>Hay</t>
  </si>
  <si>
    <t>Lamb HWC</t>
  </si>
  <si>
    <t>Cull ewe</t>
  </si>
  <si>
    <t>Cull ram</t>
  </si>
  <si>
    <t>Meat produced (lbs/yr)</t>
  </si>
  <si>
    <t>Meat produced</t>
  </si>
  <si>
    <t>Ewes</t>
  </si>
  <si>
    <t>Rams</t>
  </si>
  <si>
    <t>Total Lambs</t>
  </si>
  <si>
    <t>No. of offspring per year</t>
  </si>
  <si>
    <t>Replacements</t>
  </si>
  <si>
    <t>Lambs harvested</t>
  </si>
  <si>
    <t>% of cull ewes w/ salvage val</t>
  </si>
  <si>
    <t>*Placeholder</t>
  </si>
  <si>
    <t>Cull ewes with salvage value</t>
  </si>
  <si>
    <t>Cull rams with salvage value</t>
  </si>
  <si>
    <t>% of cull rams w/ salvage val</t>
  </si>
  <si>
    <t>market hog</t>
  </si>
  <si>
    <t>cull sow</t>
  </si>
  <si>
    <t>cull boar</t>
  </si>
  <si>
    <t>Meat production needed</t>
  </si>
  <si>
    <t>Sows</t>
  </si>
  <si>
    <t>Boars</t>
  </si>
  <si>
    <t>% of cull sows w/ salvage val</t>
  </si>
  <si>
    <t>replacements</t>
  </si>
  <si>
    <t>harvest</t>
  </si>
  <si>
    <t>Peters et al.</t>
  </si>
  <si>
    <t>harvested hogs</t>
  </si>
  <si>
    <t>% of cull boars w/ salvage val</t>
  </si>
  <si>
    <t xml:space="preserve">Meat cons. (oz/d/cap, loss adjusted </t>
  </si>
  <si>
    <t>Total avail - loss adjusted (HCW)</t>
  </si>
  <si>
    <t>Piglets</t>
  </si>
  <si>
    <t>cull sows w/ salvage val</t>
  </si>
  <si>
    <t>cull boars w/ salvage val</t>
  </si>
  <si>
    <t>Layers</t>
  </si>
  <si>
    <t>Eggs /yr</t>
  </si>
  <si>
    <t>Mature layers</t>
  </si>
  <si>
    <t>No. of settable eggs per year</t>
  </si>
  <si>
    <t xml:space="preserve">Peters et al used 240 eggs/yr, but I adjusted down 10% because of pasture raising. </t>
  </si>
  <si>
    <t>Hatch rate</t>
  </si>
  <si>
    <t>Hens</t>
  </si>
  <si>
    <t>Roosters</t>
  </si>
  <si>
    <t>Percent that are female</t>
  </si>
  <si>
    <t>% of cull hens w/ salvage val</t>
  </si>
  <si>
    <t>Female age at first lay</t>
  </si>
  <si>
    <t>17 - 20 wks</t>
  </si>
  <si>
    <t xml:space="preserve">Peters et al  </t>
  </si>
  <si>
    <t>liveweight</t>
  </si>
  <si>
    <t>lbs feed per lb liveweight</t>
  </si>
  <si>
    <t>% of cull roosters w/ salvage val</t>
  </si>
  <si>
    <t>Spent breeder hens</t>
  </si>
  <si>
    <t>Culled Roosters</t>
  </si>
  <si>
    <t>From Peters</t>
  </si>
  <si>
    <t>Meat Production needed</t>
  </si>
  <si>
    <t>Meat from spent layer-hens</t>
  </si>
  <si>
    <t>Meat from spent layer-roosters</t>
  </si>
  <si>
    <t>Meat needed from Broilers</t>
  </si>
  <si>
    <t>25 wks</t>
  </si>
  <si>
    <t>Meat from Broilers</t>
  </si>
  <si>
    <t>Total Chicks</t>
  </si>
  <si>
    <t>meat from cull hens</t>
  </si>
  <si>
    <t>meat from cull roosters</t>
  </si>
  <si>
    <t>meat from broilers</t>
  </si>
  <si>
    <t>Egg cons. (egg/d/cap)</t>
  </si>
  <si>
    <t>Annual avail - before loss (eggs/yr/cap)</t>
  </si>
  <si>
    <t>Meat cons. (oz/d/cap)</t>
  </si>
  <si>
    <t>Annual avail - HCW before loss (lbs/y/cap)</t>
  </si>
  <si>
    <t>Young hen</t>
  </si>
  <si>
    <t>avg hen/tom</t>
  </si>
  <si>
    <t>5-6</t>
  </si>
  <si>
    <t>Young tom</t>
  </si>
  <si>
    <t>7-8</t>
  </si>
  <si>
    <t>Cull females</t>
  </si>
  <si>
    <t>9-10</t>
  </si>
  <si>
    <t>Cull males</t>
  </si>
  <si>
    <t>11-12</t>
  </si>
  <si>
    <t>13-14</t>
  </si>
  <si>
    <t>Meat production</t>
  </si>
  <si>
    <t>Toms</t>
  </si>
  <si>
    <t>Poults</t>
  </si>
  <si>
    <t>15-16</t>
  </si>
  <si>
    <t>17-18</t>
  </si>
  <si>
    <t>19-20</t>
  </si>
  <si>
    <t>22-22</t>
  </si>
  <si>
    <t>24-24</t>
  </si>
  <si>
    <t>cull hens with salvage val</t>
  </si>
  <si>
    <t>cull toms with salvage val</t>
  </si>
  <si>
    <t>harvested poults</t>
  </si>
  <si>
    <t>26-26</t>
  </si>
  <si>
    <t>28-28</t>
  </si>
  <si>
    <t>% of cull toms w/ salvage val</t>
  </si>
  <si>
    <t>Loss Adjusted</t>
  </si>
  <si>
    <t>Sugar Yield</t>
  </si>
  <si>
    <t>Acreage Required</t>
  </si>
  <si>
    <t>tsp/day</t>
  </si>
  <si>
    <t>ac</t>
  </si>
  <si>
    <t>Honey</t>
  </si>
  <si>
    <t>Eggs produced (eggs/yr)</t>
  </si>
  <si>
    <t>cups/day</t>
  </si>
  <si>
    <t>cups/wk</t>
  </si>
  <si>
    <t>Total beef</t>
  </si>
  <si>
    <t>Cows</t>
  </si>
  <si>
    <t>Meat cons. (oz/d/cap, loss adjusted)</t>
  </si>
  <si>
    <t>Soy</t>
  </si>
  <si>
    <t>Peanuts and tree nuts</t>
  </si>
  <si>
    <t>Beans (protein)</t>
  </si>
  <si>
    <t xml:space="preserve">1 oz-eq = 1/2 oz nuts, 1 Tbs peanut butter, </t>
  </si>
  <si>
    <t>Dry Beans and Peas (veg)</t>
  </si>
  <si>
    <t>Nuts</t>
  </si>
  <si>
    <t>Maple</t>
  </si>
  <si>
    <t>cal/d</t>
  </si>
  <si>
    <t>g fat/d</t>
  </si>
  <si>
    <t>tsp/wk</t>
  </si>
  <si>
    <t>tsp/d</t>
  </si>
  <si>
    <t>Cane</t>
  </si>
  <si>
    <t>Corn Sweeteners</t>
  </si>
  <si>
    <t>SoFAS and Oils</t>
  </si>
  <si>
    <t>almonds</t>
  </si>
  <si>
    <t>walnuts</t>
  </si>
  <si>
    <t>Total availability</t>
  </si>
  <si>
    <t>pecans</t>
  </si>
  <si>
    <t>Acres needed</t>
  </si>
  <si>
    <t>lbs/yr/cap</t>
  </si>
  <si>
    <t>Nut Total</t>
  </si>
  <si>
    <t>peanuts</t>
  </si>
  <si>
    <t>ACTUAL oz/d</t>
  </si>
  <si>
    <t>Nuts - Diet to Ag Footprint</t>
  </si>
  <si>
    <t>Nuts - Contribution to Dietary Oils</t>
  </si>
  <si>
    <t>g of fat/oz</t>
  </si>
  <si>
    <t>*this assumes that all fat in nuts counts toward oils</t>
  </si>
  <si>
    <t>g of oils/d*</t>
  </si>
  <si>
    <t>cal of oils/d*</t>
  </si>
  <si>
    <t>Year</t>
  </si>
  <si>
    <r>
      <t>Wine</t>
    </r>
    <r>
      <rPr>
        <vertAlign val="superscript"/>
        <sz val="10"/>
        <rFont val="Arial"/>
        <family val="2"/>
      </rPr>
      <t>2</t>
    </r>
  </si>
  <si>
    <r>
      <t>Total</t>
    </r>
    <r>
      <rPr>
        <vertAlign val="superscript"/>
        <sz val="10"/>
        <rFont val="Arial"/>
        <family val="2"/>
      </rPr>
      <t>3</t>
    </r>
  </si>
  <si>
    <t>Alcoholic beverages:  Per capita availability (ERS - Food availability data series)</t>
  </si>
  <si>
    <t>1 gallon = 128 fl oz</t>
  </si>
  <si>
    <t>#serv avail/yr</t>
  </si>
  <si>
    <t>**NOT LOSS ADJUSTED</t>
  </si>
  <si>
    <t>serv avail/d</t>
  </si>
  <si>
    <t>Source:  USDA/Economic Research Service.  Data last updated Feb. 1, 2010.</t>
  </si>
  <si>
    <t>fl oz</t>
  </si>
  <si>
    <t>5 yr avg gallons</t>
  </si>
  <si>
    <t>standard serv size (oz)</t>
  </si>
  <si>
    <t>Fat</t>
  </si>
  <si>
    <t>n.a.</t>
  </si>
  <si>
    <t>total lbs/yr</t>
  </si>
  <si>
    <t>ME Wild Bluberries</t>
  </si>
  <si>
    <t>Bananas</t>
  </si>
  <si>
    <t>Citrus</t>
  </si>
  <si>
    <t>Tangerines and tangelos</t>
  </si>
  <si>
    <t>Avocado</t>
  </si>
  <si>
    <t>Grapefruit</t>
  </si>
  <si>
    <t>Grapes-Raisins</t>
  </si>
  <si>
    <t>Pineapples</t>
  </si>
  <si>
    <t>Orange and temples</t>
  </si>
  <si>
    <t>Lemons and limes</t>
  </si>
  <si>
    <t>Oranges</t>
  </si>
  <si>
    <t>Raisin Grapes</t>
  </si>
  <si>
    <t>Tangerine and tangelos</t>
  </si>
  <si>
    <t>Lemon - fresh</t>
  </si>
  <si>
    <t>Lemon - juice</t>
  </si>
  <si>
    <t>Lime - fresh</t>
  </si>
  <si>
    <t>Lime - juice</t>
  </si>
  <si>
    <t>Plums (not included)</t>
  </si>
  <si>
    <t>Mango</t>
  </si>
  <si>
    <t>Olives</t>
  </si>
  <si>
    <t>Lemons</t>
  </si>
  <si>
    <t>Limes</t>
  </si>
  <si>
    <t>2000-2010</t>
  </si>
  <si>
    <t>UN - FAO avg yield across all producing countries</t>
  </si>
  <si>
    <t>Mangos</t>
  </si>
  <si>
    <t>Tea</t>
  </si>
  <si>
    <t>Coffee, green</t>
  </si>
  <si>
    <t>Vanilla</t>
  </si>
  <si>
    <t>Sesame seed</t>
  </si>
  <si>
    <t>Poppy seed</t>
  </si>
  <si>
    <t>Pepper (Piper spp.)</t>
  </si>
  <si>
    <t>Peppermint</t>
  </si>
  <si>
    <t>Chillies and peppers, dry</t>
  </si>
  <si>
    <t>Chillies and peppers, green</t>
  </si>
  <si>
    <t>Cloves</t>
  </si>
  <si>
    <t>Anise, badian, fennel, corian.</t>
  </si>
  <si>
    <t>Ginger</t>
  </si>
  <si>
    <t>Mustard seed</t>
  </si>
  <si>
    <t>Nutmeg, mace and cardamoms</t>
  </si>
  <si>
    <t>Pop</t>
  </si>
  <si>
    <t>lbs / cap</t>
  </si>
  <si>
    <t>Acreage</t>
  </si>
  <si>
    <t>Total Production needed</t>
  </si>
  <si>
    <t>Coffee, Tea and Chocolate</t>
  </si>
  <si>
    <t xml:space="preserve">acres </t>
  </si>
  <si>
    <t>1,000s ac</t>
  </si>
  <si>
    <t>Spices</t>
  </si>
  <si>
    <t>Apricots</t>
  </si>
  <si>
    <t>Blackberries</t>
  </si>
  <si>
    <t>Cantaloup</t>
  </si>
  <si>
    <t>Cherries</t>
  </si>
  <si>
    <t>Canned sweet</t>
  </si>
  <si>
    <t>Canned tart</t>
  </si>
  <si>
    <t>Frozen sweet cherries</t>
  </si>
  <si>
    <t>Frozen tart cherries</t>
  </si>
  <si>
    <t>Other berries</t>
  </si>
  <si>
    <t>Honeydew</t>
  </si>
  <si>
    <t>Kiwi</t>
  </si>
  <si>
    <t>Papaya</t>
  </si>
  <si>
    <t>Dates</t>
  </si>
  <si>
    <t>Figs</t>
  </si>
  <si>
    <t>Total Fruit Consumption</t>
  </si>
  <si>
    <t>cups/yr</t>
  </si>
  <si>
    <t>Calving rate</t>
  </si>
  <si>
    <t>Cow turnover rate (includes culls and deaths)</t>
  </si>
  <si>
    <t>portion of culls with salvage value</t>
  </si>
  <si>
    <t>Calf survival rate</t>
  </si>
  <si>
    <t>Bull replacement rate</t>
  </si>
  <si>
    <t>Bull:cow ratio</t>
  </si>
  <si>
    <t>Female age at first calving</t>
  </si>
  <si>
    <t>Male age at sex maturity</t>
  </si>
  <si>
    <r>
      <t>Primary weight</t>
    </r>
    <r>
      <rPr>
        <vertAlign val="superscript"/>
        <sz val="10"/>
        <rFont val="Arial"/>
        <family val="2"/>
      </rPr>
      <t>2</t>
    </r>
  </si>
  <si>
    <r>
      <t>Calories available daily</t>
    </r>
    <r>
      <rPr>
        <vertAlign val="superscript"/>
        <sz val="10"/>
        <rFont val="Arial"/>
        <family val="2"/>
      </rPr>
      <t>4</t>
    </r>
  </si>
  <si>
    <t>Lbs/year</t>
  </si>
  <si>
    <t>Percent</t>
  </si>
  <si>
    <t>G/day</t>
  </si>
  <si>
    <t>Number</t>
  </si>
  <si>
    <t>Dark Green subtotal</t>
  </si>
  <si>
    <t>Broccoli - fresh</t>
  </si>
  <si>
    <t xml:space="preserve">Broccoli  </t>
  </si>
  <si>
    <t>Collards - fresh</t>
  </si>
  <si>
    <t>Escarole - fresh</t>
  </si>
  <si>
    <t>Romaine &amp; leaf lettuce - fresh</t>
  </si>
  <si>
    <t>Kale - fresh</t>
  </si>
  <si>
    <t>Spinach - fresh</t>
  </si>
  <si>
    <t>Turnip greens - fresh</t>
  </si>
  <si>
    <t>Mustard greens</t>
  </si>
  <si>
    <t>Red and Orange subtotal</t>
  </si>
  <si>
    <t>Squash - fresh</t>
  </si>
  <si>
    <t>Carrots - fresh</t>
  </si>
  <si>
    <t>Pumpkin - fresh</t>
  </si>
  <si>
    <t>Sweet Potatoes - fresh</t>
  </si>
  <si>
    <t>Tomatoes - fresh</t>
  </si>
  <si>
    <t>Starchy subtotal</t>
  </si>
  <si>
    <t>Corn - fresh</t>
  </si>
  <si>
    <t>Green peas - canned</t>
  </si>
  <si>
    <t>Green peas</t>
  </si>
  <si>
    <t>Green lima beans - fresh</t>
  </si>
  <si>
    <t>Green lima beans</t>
  </si>
  <si>
    <t>Potatoes - fresh</t>
  </si>
  <si>
    <t>Dehydrated</t>
  </si>
  <si>
    <t>Potato chips</t>
  </si>
  <si>
    <t>Other subtotal</t>
  </si>
  <si>
    <t>Artichokes - fresh</t>
  </si>
  <si>
    <t>Asparagus - fresh</t>
  </si>
  <si>
    <t xml:space="preserve">Asparagus  </t>
  </si>
  <si>
    <t>Avocado - fresh</t>
  </si>
  <si>
    <t>Brussels sprouts - fresh</t>
  </si>
  <si>
    <t>Cabbage - fresh</t>
  </si>
  <si>
    <t xml:space="preserve">Cabbage  </t>
  </si>
  <si>
    <t>Cauliflower - fresh</t>
  </si>
  <si>
    <t xml:space="preserve">Cauliflower  </t>
  </si>
  <si>
    <t>Celery - fresh</t>
  </si>
  <si>
    <t>Cucumbers - fresh</t>
  </si>
  <si>
    <t xml:space="preserve">Cucumbers  </t>
  </si>
  <si>
    <t>Eggplant - fresh</t>
  </si>
  <si>
    <t>Green beans - fresh</t>
  </si>
  <si>
    <t xml:space="preserve">Green beans  </t>
  </si>
  <si>
    <t>Head lettuce - fresh</t>
  </si>
  <si>
    <t>Bell peppers - fresh</t>
  </si>
  <si>
    <t>Mushrooms - fresh</t>
  </si>
  <si>
    <t xml:space="preserve">Mushrooms  </t>
  </si>
  <si>
    <t>Okra - fresh</t>
  </si>
  <si>
    <t>Onions - fresh</t>
  </si>
  <si>
    <t xml:space="preserve">Onions  </t>
  </si>
  <si>
    <t>Radish - fresh</t>
  </si>
  <si>
    <t>Beans and Peas subtotal</t>
  </si>
  <si>
    <t>Black beans - dry</t>
  </si>
  <si>
    <t>Red kidney beans - dry</t>
  </si>
  <si>
    <t>Peas and lentils - dry</t>
  </si>
  <si>
    <t>Navy beans - dry</t>
  </si>
  <si>
    <t>Pinto beans -dry</t>
  </si>
  <si>
    <t>Great northern beans - dry</t>
  </si>
  <si>
    <t>Lima beans - dry</t>
  </si>
  <si>
    <t>Other beans - dry</t>
  </si>
  <si>
    <t>Cons - relative proportion w/in group</t>
  </si>
  <si>
    <t>Green*</t>
  </si>
  <si>
    <t>Red/Organge*</t>
  </si>
  <si>
    <t>Starchy*</t>
  </si>
  <si>
    <t>Other*</t>
  </si>
  <si>
    <t>Beans*</t>
  </si>
  <si>
    <t>Horses</t>
  </si>
  <si>
    <t>Total imported</t>
  </si>
  <si>
    <t>Total produced</t>
  </si>
  <si>
    <t>Total exported</t>
  </si>
  <si>
    <t>per cap lbs/yr</t>
  </si>
  <si>
    <t>Cinnamon (canella) and cassia</t>
  </si>
  <si>
    <t>Cumin</t>
  </si>
  <si>
    <t>Domestic Consumption, current (avg 2006-2010)</t>
  </si>
  <si>
    <t>Pop avg 2006-2010</t>
  </si>
  <si>
    <t>Pop 2060</t>
  </si>
  <si>
    <t>Fat in butter</t>
  </si>
  <si>
    <t>fat</t>
  </si>
  <si>
    <t>g/d/cap</t>
  </si>
  <si>
    <t>total cheese, before loss</t>
  </si>
  <si>
    <t>Assumption: Half the weight of cream is butter, half is buttermilk (from MSU example); butter is 80% fat</t>
  </si>
  <si>
    <t>ice cream fat from milk</t>
  </si>
  <si>
    <t>ice cream fat from cream</t>
  </si>
  <si>
    <t>ice cream fat</t>
  </si>
  <si>
    <t>Beet</t>
  </si>
  <si>
    <t>Other edible syrups</t>
  </si>
  <si>
    <t>Misc imports</t>
  </si>
  <si>
    <t>Nursery stock (acres in open)</t>
  </si>
  <si>
    <t>Floriculture (acres in open)</t>
  </si>
  <si>
    <t>From 2007 Ag Census</t>
  </si>
  <si>
    <t>Coffee, tea, chocolate</t>
  </si>
  <si>
    <t>Amount of cheese from from milk depends on the kind of cheese. Several sources say 1:10 cheese to milk. (May range from .9 to 1.3 : 10)</t>
  </si>
  <si>
    <t>ERS: 1 cup of ice cream = 216g</t>
  </si>
  <si>
    <t>ERS: 1 cup of milk = 244g</t>
  </si>
  <si>
    <t>ERS: 1 cup of yogurt=227g</t>
  </si>
  <si>
    <t>Current Veg consumption per capita</t>
  </si>
  <si>
    <t>Sod</t>
  </si>
  <si>
    <t>Primary weight</t>
  </si>
  <si>
    <t>Horses -- grain</t>
  </si>
  <si>
    <t>Vegetable consumption (avg 2006-2010)</t>
  </si>
  <si>
    <r>
      <t>Calories per cup-equivalent</t>
    </r>
    <r>
      <rPr>
        <vertAlign val="superscript"/>
        <sz val="8"/>
        <rFont val="Arial"/>
        <family val="2"/>
      </rPr>
      <t>3</t>
    </r>
  </si>
  <si>
    <r>
      <t>Grams per cup-equivalent</t>
    </r>
    <r>
      <rPr>
        <vertAlign val="superscript"/>
        <sz val="8"/>
        <rFont val="Arial"/>
        <family val="2"/>
      </rPr>
      <t>3</t>
    </r>
  </si>
  <si>
    <r>
      <t>Food Pattern Equivalents available daily</t>
    </r>
    <r>
      <rPr>
        <vertAlign val="superscript"/>
        <sz val="8"/>
        <rFont val="Arial"/>
        <family val="2"/>
      </rPr>
      <t>5</t>
    </r>
  </si>
  <si>
    <t>serv/day to primary weight (lbs/yr)</t>
  </si>
  <si>
    <t>Chile pepper - canned</t>
  </si>
  <si>
    <t>Fruits: Current consumption of selected fruits, 5 yr avg (2006-2010)</t>
  </si>
  <si>
    <t>Gals/year</t>
  </si>
  <si>
    <t>Whole Fruit</t>
  </si>
  <si>
    <t>% of consumption of selected  temperate fruits</t>
  </si>
  <si>
    <t>Grain: current human consumption (avg 2006-2010)</t>
  </si>
  <si>
    <r>
      <t>Calories per ounce-equivalent (oz-eq)</t>
    </r>
    <r>
      <rPr>
        <vertAlign val="superscript"/>
        <sz val="8"/>
        <rFont val="Arial"/>
        <family val="2"/>
      </rPr>
      <t>3</t>
    </r>
  </si>
  <si>
    <r>
      <t>Grams per ounce-equivalent (oz-eq)</t>
    </r>
    <r>
      <rPr>
        <vertAlign val="superscript"/>
        <sz val="8"/>
        <rFont val="Arial"/>
        <family val="2"/>
      </rPr>
      <t>3</t>
    </r>
  </si>
  <si>
    <t>Oz-eq</t>
  </si>
  <si>
    <t>Wheat flour</t>
  </si>
  <si>
    <t>Corn flour, meal, etc</t>
  </si>
  <si>
    <t>Rice</t>
  </si>
  <si>
    <t>Brown rice</t>
  </si>
  <si>
    <t>Oats</t>
  </si>
  <si>
    <t>Barley</t>
  </si>
  <si>
    <t>Rye</t>
  </si>
  <si>
    <t>Refined wheat flour</t>
  </si>
  <si>
    <t>Whole wheat flour</t>
  </si>
  <si>
    <t>Corn (flour, meal, starch)</t>
  </si>
  <si>
    <t>Oats products</t>
  </si>
  <si>
    <t>Current consumption: Avg 2006-2010</t>
  </si>
  <si>
    <t>Ac</t>
  </si>
  <si>
    <t>Dairy Consumption: average 2006-2010</t>
  </si>
  <si>
    <r>
      <t>Calories per cup-equivalent</t>
    </r>
    <r>
      <rPr>
        <vertAlign val="superscript"/>
        <sz val="10"/>
        <rFont val="Arial"/>
        <family val="2"/>
      </rPr>
      <t>3</t>
    </r>
  </si>
  <si>
    <r>
      <t>Grams per cup-equivalent</t>
    </r>
    <r>
      <rPr>
        <vertAlign val="superscript"/>
        <sz val="10"/>
        <rFont val="Arial"/>
        <family val="2"/>
      </rPr>
      <t>3</t>
    </r>
  </si>
  <si>
    <r>
      <t>Food Pattern Equivalents available daily</t>
    </r>
    <r>
      <rPr>
        <vertAlign val="superscript"/>
        <sz val="10"/>
        <rFont val="Arial"/>
        <family val="2"/>
      </rPr>
      <t>5</t>
    </r>
  </si>
  <si>
    <t>Portion of dairy servings</t>
  </si>
  <si>
    <t>Portion of selected dairy servings</t>
  </si>
  <si>
    <t>Fluid milk, buttermilk, and yogurt</t>
  </si>
  <si>
    <t>Plain milk</t>
  </si>
  <si>
    <t>Whole</t>
  </si>
  <si>
    <t>Skim</t>
  </si>
  <si>
    <t>Flavored milk</t>
  </si>
  <si>
    <t>Lowfat</t>
  </si>
  <si>
    <t>Buttermilk</t>
  </si>
  <si>
    <t>Total Cheese</t>
  </si>
  <si>
    <t>Frozen dairy products</t>
  </si>
  <si>
    <t>Regular ice cream</t>
  </si>
  <si>
    <t>Lowfat ice cream (ice milk)</t>
  </si>
  <si>
    <t>Frozen yogurt</t>
  </si>
  <si>
    <t>Evaporated and condensed</t>
  </si>
  <si>
    <t>whole canned</t>
  </si>
  <si>
    <t>whole bulk</t>
  </si>
  <si>
    <t>skim</t>
  </si>
  <si>
    <t>Dry milk</t>
  </si>
  <si>
    <t>Dry whole milk</t>
  </si>
  <si>
    <t>Nonfat dry</t>
  </si>
  <si>
    <t>Dry buttermilk</t>
  </si>
  <si>
    <t>Dairy share of half and half, and eggnog</t>
  </si>
  <si>
    <t>half and half</t>
  </si>
  <si>
    <t>eggnog</t>
  </si>
  <si>
    <t>Cottage cheese</t>
  </si>
  <si>
    <t>Total Dairy</t>
  </si>
  <si>
    <t>Protein Consumption (average 2006-2010)</t>
  </si>
  <si>
    <r>
      <t>Loss from primary to retail weight</t>
    </r>
    <r>
      <rPr>
        <vertAlign val="superscript"/>
        <sz val="10"/>
        <rFont val="Arial"/>
        <family val="2"/>
      </rPr>
      <t>3</t>
    </r>
  </si>
  <si>
    <r>
      <t>Retail weight</t>
    </r>
    <r>
      <rPr>
        <vertAlign val="superscript"/>
        <sz val="10"/>
        <rFont val="Arial"/>
        <family val="2"/>
      </rPr>
      <t>3</t>
    </r>
  </si>
  <si>
    <r>
      <t>Calories per ounce equivalent (oz-eq)</t>
    </r>
    <r>
      <rPr>
        <vertAlign val="superscript"/>
        <sz val="10"/>
        <rFont val="Arial"/>
        <family val="2"/>
      </rPr>
      <t>4</t>
    </r>
  </si>
  <si>
    <r>
      <t>Ounce-equivalent</t>
    </r>
    <r>
      <rPr>
        <vertAlign val="superscript"/>
        <sz val="10"/>
        <rFont val="Arial"/>
        <family val="2"/>
      </rPr>
      <t>4</t>
    </r>
  </si>
  <si>
    <r>
      <t>Calories available daily</t>
    </r>
    <r>
      <rPr>
        <vertAlign val="superscript"/>
        <sz val="10"/>
        <rFont val="Arial"/>
        <family val="2"/>
      </rPr>
      <t>5</t>
    </r>
  </si>
  <si>
    <r>
      <t>Food Pattern Equivalents</t>
    </r>
    <r>
      <rPr>
        <vertAlign val="superscript"/>
        <sz val="10"/>
        <rFont val="Arial"/>
        <family val="2"/>
      </rPr>
      <t>6</t>
    </r>
  </si>
  <si>
    <t>Ounces</t>
  </si>
  <si>
    <t>Veal</t>
  </si>
  <si>
    <t>Fish and Shellfish</t>
  </si>
  <si>
    <t>Total tree nuts</t>
  </si>
  <si>
    <t>Almonds</t>
  </si>
  <si>
    <t>Hazelnuts</t>
  </si>
  <si>
    <t>Pecans</t>
  </si>
  <si>
    <t>Walnuts</t>
  </si>
  <si>
    <t>Macadamia nuts</t>
  </si>
  <si>
    <t>Pistachio nuts</t>
  </si>
  <si>
    <t>Other nuts</t>
  </si>
  <si>
    <t>Consumption of Fats (average 2006-2010)</t>
  </si>
  <si>
    <t>Calories per fat gram</t>
  </si>
  <si>
    <t>Daily fat grams</t>
  </si>
  <si>
    <r>
      <t>Calories available daily</t>
    </r>
    <r>
      <rPr>
        <vertAlign val="superscript"/>
        <sz val="10"/>
        <rFont val="Arial"/>
        <family val="2"/>
      </rPr>
      <t>3</t>
    </r>
  </si>
  <si>
    <t>Margarine</t>
  </si>
  <si>
    <t>Lard</t>
  </si>
  <si>
    <t>Edible beef tallow</t>
  </si>
  <si>
    <t>Shortening</t>
  </si>
  <si>
    <t>Salad and cooking oils</t>
  </si>
  <si>
    <t>Other edible fats and oils</t>
  </si>
  <si>
    <t>Light cream</t>
  </si>
  <si>
    <t>Heavy cream</t>
  </si>
  <si>
    <t>Sour cream</t>
  </si>
  <si>
    <t>Cream cheese</t>
  </si>
  <si>
    <t>Eggnog</t>
  </si>
  <si>
    <t>Dairy fats</t>
  </si>
  <si>
    <t>Total fats</t>
  </si>
  <si>
    <t>Sugar consumption (average 2006-2010)</t>
  </si>
  <si>
    <r>
      <t>Calories per teaspoon</t>
    </r>
    <r>
      <rPr>
        <vertAlign val="superscript"/>
        <sz val="10"/>
        <rFont val="Arial"/>
        <family val="2"/>
      </rPr>
      <t>3</t>
    </r>
  </si>
  <si>
    <r>
      <t>Grams per teaspoon</t>
    </r>
    <r>
      <rPr>
        <vertAlign val="superscript"/>
        <sz val="10"/>
        <rFont val="Arial"/>
        <family val="2"/>
      </rPr>
      <t>3</t>
    </r>
  </si>
  <si>
    <r>
      <t>Teaspoons available daily</t>
    </r>
    <r>
      <rPr>
        <vertAlign val="superscript"/>
        <sz val="10"/>
        <rFont val="Arial"/>
        <family val="2"/>
      </rPr>
      <t>5</t>
    </r>
  </si>
  <si>
    <t>Teaspoons</t>
  </si>
  <si>
    <t>Beet &amp; Cane</t>
  </si>
  <si>
    <t>Edible syrups</t>
  </si>
  <si>
    <t>Total Honey and syrup</t>
  </si>
  <si>
    <t>High fructose corn sweetener</t>
  </si>
  <si>
    <t>Glucose</t>
  </si>
  <si>
    <t>Dextrose</t>
  </si>
  <si>
    <t>Corn sweeteners</t>
  </si>
  <si>
    <t>Caloric sweeteners</t>
  </si>
  <si>
    <t>Primary weight, per capita (avg 2006-2010)</t>
  </si>
  <si>
    <t>Cocoa</t>
  </si>
  <si>
    <t>Total Dairy Consumption avg 2006-2010</t>
  </si>
  <si>
    <t>Seafood (fresh, frozen, canned, cured)</t>
  </si>
  <si>
    <t xml:space="preserve">Weekly </t>
  </si>
  <si>
    <t xml:space="preserve">Daily  </t>
  </si>
  <si>
    <t>UDSA MyPlate</t>
  </si>
  <si>
    <t>Current (avg 2006-2010)</t>
  </si>
  <si>
    <t>43.25 - 43.75</t>
  </si>
  <si>
    <t>6.18 - 6.25</t>
  </si>
  <si>
    <t>see veg</t>
  </si>
  <si>
    <t>Land needed</t>
  </si>
  <si>
    <t>"free" woodlands</t>
  </si>
  <si>
    <t xml:space="preserve">White Rice </t>
  </si>
  <si>
    <t>Distilled spirits</t>
  </si>
  <si>
    <t>From primary weight (lbs/yr) to serv/day</t>
  </si>
  <si>
    <t>eggs</t>
  </si>
  <si>
    <t>Calories</t>
  </si>
  <si>
    <t>cal/d/cap</t>
  </si>
  <si>
    <t>Cal/oz</t>
  </si>
  <si>
    <t>USDA Diet</t>
  </si>
  <si>
    <t>Calories per day</t>
  </si>
  <si>
    <t>food pattern equivalents</t>
  </si>
  <si>
    <t>Vegetables</t>
  </si>
  <si>
    <t>Tomatoes - canned</t>
  </si>
  <si>
    <t>Carrots - frozen</t>
  </si>
  <si>
    <t>Carrots - canned</t>
  </si>
  <si>
    <t>Broccoli - frozen</t>
  </si>
  <si>
    <t>Corn - canned</t>
  </si>
  <si>
    <t>Corn - frozen</t>
  </si>
  <si>
    <t>Green peas - frozen</t>
  </si>
  <si>
    <t>Potatoes - canned</t>
  </si>
  <si>
    <t>Potatoes - frozen</t>
  </si>
  <si>
    <t>Potatoes - dehydrated</t>
  </si>
  <si>
    <t>Asparagus - Canned</t>
  </si>
  <si>
    <t>Asparagus - Frozen</t>
  </si>
  <si>
    <t>Cabbage - canned</t>
  </si>
  <si>
    <t>Cauliflower - frozen</t>
  </si>
  <si>
    <t>Cucumbers - Canned</t>
  </si>
  <si>
    <t>Green beans - canned</t>
  </si>
  <si>
    <t>Green beans - frozen</t>
  </si>
  <si>
    <t>Mushrooms - canned</t>
  </si>
  <si>
    <t>Onions - Dehydrated</t>
  </si>
  <si>
    <t>Green lima beans - frozen</t>
  </si>
  <si>
    <t>Current Consumption</t>
  </si>
  <si>
    <t>Calories available daily</t>
  </si>
  <si>
    <t>Spinach - frozen</t>
  </si>
  <si>
    <t>Fruit</t>
  </si>
  <si>
    <t>Apples- Fresh</t>
  </si>
  <si>
    <t>Apples- Canned</t>
  </si>
  <si>
    <t>Apples - Frozen</t>
  </si>
  <si>
    <t>Apples - Dried</t>
  </si>
  <si>
    <t>Apples - Juice</t>
  </si>
  <si>
    <t>Blueberries - Fresh</t>
  </si>
  <si>
    <t>Blueberries - Frozen</t>
  </si>
  <si>
    <t>Cranberries - Fresh</t>
  </si>
  <si>
    <t>Cranberries - Juice</t>
  </si>
  <si>
    <t xml:space="preserve">Grapes - Fresh </t>
  </si>
  <si>
    <t>Grapes - Juice</t>
  </si>
  <si>
    <t>Peaches - Fresh</t>
  </si>
  <si>
    <t>Peaches - Canned</t>
  </si>
  <si>
    <t>Peaches - Dried</t>
  </si>
  <si>
    <t>Pears - Fresh</t>
  </si>
  <si>
    <t>Pears - Canned</t>
  </si>
  <si>
    <t>Pears - Dried</t>
  </si>
  <si>
    <t>Strawberries - Frozen</t>
  </si>
  <si>
    <t>Strawberries - Fresh</t>
  </si>
  <si>
    <t>Plums - Fresh</t>
  </si>
  <si>
    <t>Plums - Canned</t>
  </si>
  <si>
    <t>Plums - Frozen</t>
  </si>
  <si>
    <t>Plums - Dried</t>
  </si>
  <si>
    <t>Plums - Juice</t>
  </si>
  <si>
    <t>Apricots - Fresh</t>
  </si>
  <si>
    <t>Apricots - Dried</t>
  </si>
  <si>
    <t>Apricots - Canned</t>
  </si>
  <si>
    <t>Apricots - Frozen</t>
  </si>
  <si>
    <t>Cherries - Fresh</t>
  </si>
  <si>
    <t>Cherries - Canned sweet</t>
  </si>
  <si>
    <t>Cherries - Canned tart</t>
  </si>
  <si>
    <t>Cherries - Frozen sweet cherries</t>
  </si>
  <si>
    <t>Cherries - Frozen tart cherries</t>
  </si>
  <si>
    <t>Raspberries - Frozen</t>
  </si>
  <si>
    <t>Raspberries - Fresh</t>
  </si>
  <si>
    <t>Oranges - Fresh</t>
  </si>
  <si>
    <t>Oranges - Juice</t>
  </si>
  <si>
    <t>Bananas - Fresh</t>
  </si>
  <si>
    <t>Pineapples - Fresh</t>
  </si>
  <si>
    <t>Pineapples - Canned</t>
  </si>
  <si>
    <t>Pineapples - Juice</t>
  </si>
  <si>
    <t>Raisin Grapes - Dried</t>
  </si>
  <si>
    <t>Grapefruit - Fresh</t>
  </si>
  <si>
    <t>Grapefruit - Juice</t>
  </si>
  <si>
    <t>Tangerine and tangelos - Fresh</t>
  </si>
  <si>
    <t>Mango - Fresh</t>
  </si>
  <si>
    <t>Olives - Canned</t>
  </si>
  <si>
    <t>Kiwi - fresh</t>
  </si>
  <si>
    <t>Papaya - Fresh</t>
  </si>
  <si>
    <t>Dates - Dried</t>
  </si>
  <si>
    <t>Figs - Dried</t>
  </si>
  <si>
    <t>Grains</t>
  </si>
  <si>
    <t>White flour</t>
  </si>
  <si>
    <t>White rice</t>
  </si>
  <si>
    <t>oz-eq/day</t>
  </si>
  <si>
    <t>Protein</t>
  </si>
  <si>
    <t>Whole milk</t>
  </si>
  <si>
    <t>2% milk</t>
  </si>
  <si>
    <t>1% milk</t>
  </si>
  <si>
    <t>Skim milk</t>
  </si>
  <si>
    <t>Factor of change</t>
  </si>
  <si>
    <t>Beef tallow</t>
  </si>
  <si>
    <t>Spirits</t>
  </si>
  <si>
    <t>Beet/cane</t>
  </si>
  <si>
    <t>Beans</t>
  </si>
  <si>
    <t>Half and half</t>
  </si>
  <si>
    <t>Evaporated milk</t>
  </si>
  <si>
    <t>g per serving-eq</t>
  </si>
  <si>
    <t>Total calories</t>
  </si>
  <si>
    <t>Veg - Dark Green</t>
  </si>
  <si>
    <t>Veg - Red/Orange</t>
  </si>
  <si>
    <t>Veg - Starchy</t>
  </si>
  <si>
    <t>Veg - Other</t>
  </si>
  <si>
    <t>Veg - Beans</t>
  </si>
  <si>
    <r>
      <t>Alcohol **</t>
    </r>
    <r>
      <rPr>
        <sz val="10"/>
        <rFont val="Arial"/>
        <family val="2"/>
      </rPr>
      <t xml:space="preserve">ERS doesn't publish loss yields for alcohol. We could assume 15% loss? </t>
    </r>
  </si>
  <si>
    <t>Source: ERS Food Availability Data Series</t>
  </si>
  <si>
    <t>Vegetables - From current consumption to agricultural footprint</t>
  </si>
  <si>
    <t>Primary weight needed</t>
  </si>
  <si>
    <t>Current Fruit Consumption</t>
  </si>
  <si>
    <t>Consumption adjusted for selected fruits</t>
  </si>
  <si>
    <t>Subtotal of selected Temperate fruits</t>
  </si>
  <si>
    <t>Subtotal of selected tropical fruits</t>
  </si>
  <si>
    <t>Selected Tree Nuts</t>
  </si>
  <si>
    <t>Portion of selected nuts</t>
  </si>
  <si>
    <t>BAU Selected nuts</t>
  </si>
  <si>
    <t>Portion of bev milk</t>
  </si>
  <si>
    <t>daily serv per capita of 2% milk</t>
  </si>
  <si>
    <t xml:space="preserve">Most ice cream is 10-16% butterfat (WI Milk Marketing Board). Two-thirds of ice cream is full fat, one-third is low or no fat ice cream (ERS). </t>
  </si>
  <si>
    <t>So here, we allowed for 20% cream and 80% whole milk, which would give ~11.2% BF (In the vision we use 30-70% for a BF of 14.5%)</t>
  </si>
  <si>
    <t>If cheese from milk is 1:10, then cheese is 35% fat</t>
  </si>
  <si>
    <t>Selected Dairy Foods</t>
  </si>
  <si>
    <t>This diet has</t>
  </si>
  <si>
    <t>This has average of 1% milk fat (ERS says we drink avg of 2%)</t>
  </si>
  <si>
    <t>…but does not include butter, whey</t>
  </si>
  <si>
    <t>Turkeys</t>
  </si>
  <si>
    <t>Alfalfa silage</t>
  </si>
  <si>
    <t>Grass silage</t>
  </si>
  <si>
    <t>Soybean meal</t>
  </si>
  <si>
    <t xml:space="preserve">Corn </t>
  </si>
  <si>
    <t xml:space="preserve">Hay </t>
  </si>
  <si>
    <t>Minerals</t>
  </si>
  <si>
    <t>Feed Requirements</t>
  </si>
  <si>
    <t>Average (1999-2003)</t>
  </si>
  <si>
    <t>Alfalfa hay</t>
  </si>
  <si>
    <t>Other hay</t>
  </si>
  <si>
    <t>1000 ac</t>
  </si>
  <si>
    <t>NA</t>
  </si>
  <si>
    <t>Total availability per capita (lbs/yr)</t>
  </si>
  <si>
    <t>"free" 160,000 hives</t>
  </si>
  <si>
    <t xml:space="preserve">*current production avg=1,161,400 gals or 12,775,400 lbs (1 gallon=768 tsp=11 lbs); NE can export 44% of it's maple syrup. </t>
  </si>
  <si>
    <t>dairy steers</t>
  </si>
  <si>
    <t>chestnuts</t>
  </si>
  <si>
    <t>hazelnuts</t>
  </si>
  <si>
    <t>other nuts (includes macadamia, pistachio and others)</t>
  </si>
  <si>
    <t>Beet/Cane</t>
  </si>
  <si>
    <t>Maple (edible syrups)</t>
  </si>
  <si>
    <t>Tallow</t>
  </si>
  <si>
    <t>Grams/d</t>
  </si>
  <si>
    <t>Acres</t>
  </si>
  <si>
    <t>Yield of oil</t>
  </si>
  <si>
    <t>already accounted for; byproduct from meat processing</t>
  </si>
  <si>
    <t>already accounted for in dairy section</t>
  </si>
  <si>
    <t>Dairy fats (light and heavy cream, eggnog, sour cream, cream cheese)</t>
  </si>
  <si>
    <t>Vegetable oils</t>
  </si>
  <si>
    <t>Total Consumption</t>
  </si>
  <si>
    <t>Canola</t>
  </si>
  <si>
    <t>Added oils</t>
  </si>
  <si>
    <t>Added animal fats</t>
  </si>
  <si>
    <t>Production</t>
  </si>
  <si>
    <t>Extra dairy fat??</t>
  </si>
  <si>
    <t>Beef -- grain</t>
  </si>
  <si>
    <t>Pigs, sows, boars -- grain</t>
  </si>
  <si>
    <t>Number of animals</t>
  </si>
  <si>
    <t>Lambs</t>
  </si>
  <si>
    <t>(corn)</t>
  </si>
  <si>
    <t>(soy)</t>
  </si>
  <si>
    <t>Feed Requirements (http://www.sheepandgoat.com/articles/generalfeedingguidelines.html)</t>
  </si>
  <si>
    <t>Flushing for 5 weeks</t>
  </si>
  <si>
    <t>early gestation (15 weeks)</t>
  </si>
  <si>
    <t>late gestation (6 wks)</t>
  </si>
  <si>
    <t>Lambing (1 week)</t>
  </si>
  <si>
    <t>early lactation (7 weeks</t>
  </si>
  <si>
    <t>at weaning (1.5 weeks)</t>
  </si>
  <si>
    <t>lambs harvested</t>
  </si>
  <si>
    <t>Maintenance (16.67 wks)</t>
  </si>
  <si>
    <t>Lbs feed/cwt</t>
  </si>
  <si>
    <t>Lbs dry weight/cwt</t>
  </si>
  <si>
    <t>lbs dry weight/ac</t>
  </si>
  <si>
    <t>Could replace some wine, beer</t>
  </si>
  <si>
    <t>Christmas trees</t>
  </si>
  <si>
    <t>Total (lbs)</t>
  </si>
  <si>
    <t>Per cow (lbs)</t>
  </si>
  <si>
    <t>NE NASS, 2007-2011</t>
  </si>
  <si>
    <t>Herd</t>
  </si>
  <si>
    <t>Milk cows needed outside NE</t>
  </si>
  <si>
    <t>Milk prod per cow in NE</t>
  </si>
  <si>
    <t>NE milk cows</t>
  </si>
  <si>
    <t>Non-NE milk cows</t>
  </si>
  <si>
    <t>In New England</t>
  </si>
  <si>
    <t>Beef cows</t>
  </si>
  <si>
    <t>Raised for beef</t>
  </si>
  <si>
    <t>Harvested as calves</t>
  </si>
  <si>
    <t>Number culled/harvested</t>
  </si>
  <si>
    <t>Meat from culled/harvested</t>
  </si>
  <si>
    <t>Meat from dairy herd</t>
  </si>
  <si>
    <t>cull cows</t>
  </si>
  <si>
    <t>cull bulls</t>
  </si>
  <si>
    <t>Raise for bull replacements</t>
  </si>
  <si>
    <t>Reported</t>
  </si>
  <si>
    <t>Head of cattle</t>
  </si>
  <si>
    <t>Predicted</t>
  </si>
  <si>
    <t>Total 1st yr Calves</t>
  </si>
  <si>
    <t>Raise for cow replacements</t>
  </si>
  <si>
    <t>Female replacements</t>
  </si>
  <si>
    <t>Male replacements</t>
  </si>
  <si>
    <t>Dairy x dairy steer</t>
  </si>
  <si>
    <t>Dairy x beef calves</t>
  </si>
  <si>
    <t>Hay and haylage</t>
  </si>
  <si>
    <t>Pasture (permanent pasture and cropland pastured)</t>
  </si>
  <si>
    <t>Our model + Peters</t>
  </si>
  <si>
    <t>Head</t>
  </si>
  <si>
    <t>Beef needed outside NE</t>
  </si>
  <si>
    <t>predicted meat from dairy and beef</t>
  </si>
  <si>
    <t>vs</t>
  </si>
  <si>
    <t>production</t>
  </si>
  <si>
    <t>marketings</t>
  </si>
  <si>
    <t>Production (HCW)</t>
  </si>
  <si>
    <t>Cattle slaughtered in NE</t>
  </si>
  <si>
    <t>Calves slaughtered in NE</t>
  </si>
  <si>
    <t>185 lbs milk replacer</t>
  </si>
  <si>
    <t>Beef pasture</t>
  </si>
  <si>
    <t>Dairy pasture</t>
  </si>
  <si>
    <t>Beef hay</t>
  </si>
  <si>
    <t>Dairy alfalfa + grass silage</t>
  </si>
  <si>
    <t>Reported forage</t>
  </si>
  <si>
    <t>Dairy hay</t>
  </si>
  <si>
    <t>NE ac</t>
  </si>
  <si>
    <t>(Assumed) dairy calves, sold young</t>
  </si>
  <si>
    <t>dairy heifers for replacements</t>
  </si>
  <si>
    <t>calves to sell</t>
  </si>
  <si>
    <t>(Assumed) cull cows</t>
  </si>
  <si>
    <t>NE dairy cows</t>
  </si>
  <si>
    <t>NE Beef cows</t>
  </si>
  <si>
    <t>NE Total cattle marketed</t>
  </si>
  <si>
    <t>NE Total Calves marketed</t>
  </si>
  <si>
    <t>NE Total production</t>
  </si>
  <si>
    <t>Feed per harvested animal (lbs)</t>
  </si>
  <si>
    <t>Feed requirements</t>
  </si>
  <si>
    <t>Lambs born</t>
  </si>
  <si>
    <t>Deaths</t>
  </si>
  <si>
    <t>Marketed</t>
  </si>
  <si>
    <t>Sheep marketed</t>
  </si>
  <si>
    <t>Beef outside NE</t>
  </si>
  <si>
    <t>Sheep outside NE</t>
  </si>
  <si>
    <t>Hay, haylage, silage</t>
  </si>
  <si>
    <t>Dairy corn silage and sorghum silage</t>
  </si>
  <si>
    <t>lbs HCW</t>
  </si>
  <si>
    <t>NE Total</t>
  </si>
  <si>
    <t>Feed reqs per harvested animal</t>
  </si>
  <si>
    <t>Total Sheep</t>
  </si>
  <si>
    <t>Total hogs</t>
  </si>
  <si>
    <t>Hogs outside NE</t>
  </si>
  <si>
    <t>NE Layers</t>
  </si>
  <si>
    <t>Layers outside NE</t>
  </si>
  <si>
    <t>NE Broilers</t>
  </si>
  <si>
    <t>Broilers outside NE</t>
  </si>
  <si>
    <t>NE Turkeys</t>
  </si>
  <si>
    <t>Turkeys outside NE</t>
  </si>
  <si>
    <t>Flock</t>
  </si>
  <si>
    <t>NE Pullets</t>
  </si>
  <si>
    <t>NE Others</t>
  </si>
  <si>
    <t>lbs per 300 eggs</t>
  </si>
  <si>
    <t>NE Layers - harvested</t>
  </si>
  <si>
    <t>NE Hogs</t>
  </si>
  <si>
    <t>Layers - harvested outside NE</t>
  </si>
  <si>
    <t>NE Broilers sold</t>
  </si>
  <si>
    <t>Hens for laying</t>
  </si>
  <si>
    <t>Laying replacements</t>
  </si>
  <si>
    <t>Hens for breeding</t>
  </si>
  <si>
    <t>Breeding replacement</t>
  </si>
  <si>
    <t>Breeding roosters</t>
  </si>
  <si>
    <t>calculated</t>
  </si>
  <si>
    <t>reported</t>
  </si>
  <si>
    <t>NE Turkeys sold</t>
  </si>
  <si>
    <t>NE Turkeys on hand</t>
  </si>
  <si>
    <t>weeks</t>
  </si>
  <si>
    <t>corn</t>
  </si>
  <si>
    <t>soy</t>
  </si>
  <si>
    <t>Hens &amp; Toms</t>
  </si>
  <si>
    <t>Meat</t>
  </si>
  <si>
    <t># of animals</t>
  </si>
  <si>
    <t>Turkeys harvested outside NE</t>
  </si>
  <si>
    <t>Harvested animals</t>
  </si>
  <si>
    <t>NOTES</t>
  </si>
  <si>
    <t>NE Horses</t>
  </si>
  <si>
    <t>Goats</t>
  </si>
  <si>
    <t>Marketed sheep raised outside NE</t>
  </si>
  <si>
    <t>Marketed hogs raised outside NE</t>
  </si>
  <si>
    <t>NE breeders</t>
  </si>
  <si>
    <t>NE Marketed</t>
  </si>
  <si>
    <t>NE Sheep</t>
  </si>
  <si>
    <t>NE Goats</t>
  </si>
  <si>
    <t>NE Angora Goats</t>
  </si>
  <si>
    <t>NE Milk Goats</t>
  </si>
  <si>
    <t>NE Meat Goats</t>
  </si>
  <si>
    <t>Feed Reqs</t>
  </si>
  <si>
    <t>http://extension.missouri.edu/p/G3990</t>
  </si>
  <si>
    <t>after 4-6 months, 1 grain/day plus forage</t>
  </si>
  <si>
    <t>Does</t>
  </si>
  <si>
    <t>Bucks</t>
  </si>
  <si>
    <t xml:space="preserve">Hay? </t>
  </si>
  <si>
    <t>4 weeks before kidding</t>
  </si>
  <si>
    <t>Doe</t>
  </si>
  <si>
    <t>lbs grain per day</t>
  </si>
  <si>
    <t>4 weeks after kidding</t>
  </si>
  <si>
    <t>http://www1.extension.umn.edu/agriculture/dairy/feed-and-nutrition/feeding-dairy-goats/</t>
  </si>
  <si>
    <t>36 weeks of rest of lactation</t>
  </si>
  <si>
    <t>8 weeks dry</t>
  </si>
  <si>
    <r>
      <t>www.extension.iastate.edu/NR/...8602.../</t>
    </r>
    <r>
      <rPr>
        <b/>
        <i/>
        <sz val="10"/>
        <rFont val="Arial"/>
        <family val="2"/>
      </rPr>
      <t>DairyGOATS</t>
    </r>
    <r>
      <rPr>
        <i/>
        <sz val="10"/>
        <rFont val="Arial"/>
        <family val="2"/>
      </rPr>
      <t>FactSheet06.pdf</t>
    </r>
    <r>
      <rPr>
        <sz val="10"/>
        <rFont val="Arial"/>
        <family val="2"/>
      </rPr>
      <t>‎</t>
    </r>
  </si>
  <si>
    <t>.9 tons hay per doe</t>
  </si>
  <si>
    <t>Hay from Iowa State Extension</t>
  </si>
  <si>
    <t>Hay is guess based on Iowa State Extension</t>
  </si>
  <si>
    <t>Dairy Feed requirements</t>
  </si>
  <si>
    <t>Meat goat feed requirements</t>
  </si>
  <si>
    <t>Kids/Replacements</t>
  </si>
  <si>
    <t>Alabama extension: http://www.google.com/url?sa=t&amp;rct=j&amp;q=&amp;esrc=s&amp;source=web&amp;cd=3&amp;cad=rja&amp;ved=0CDoQFjAC&amp;url=http%3A%2F%2Fwww.aces.edu%2Fpubs%2Fdocs%2FU%2FUNP-0062%2FUNP-0062.pdf&amp;ei=DqucUsKpMOGIygGlvYCIDQ&amp;usg=AFQjCNF63dZEgL93fDwOSE3L5kQN2J6zPw&amp;sig2=4s5BxvD9G7tpVVY6q-70Ew&amp;bvm=bv.57155469,d.aWc</t>
  </si>
  <si>
    <t>lbs/day</t>
  </si>
  <si>
    <t>http://www.cals.ncsu.edu/an_sci/extension/animal/meatgoat/MGNutr.htm</t>
  </si>
  <si>
    <t>lbs feed/animal</t>
  </si>
  <si>
    <t>Ag Census only reports broilers sold for CT, MA, ME, while NH, RI, VT were left out. Actual number is likely somewhat higher. (NE NASS does not report on broilers in their annual reports)</t>
  </si>
  <si>
    <t>But acreage footprint of grain is the same regardless.</t>
  </si>
  <si>
    <t>Sheep &amp; goat hay</t>
  </si>
  <si>
    <t>Horse hay</t>
  </si>
  <si>
    <t>Alfalfa &amp; Grass silage</t>
  </si>
  <si>
    <t>Sheep</t>
  </si>
  <si>
    <t>Dairy and Beef Cattle</t>
  </si>
  <si>
    <t>Pigs</t>
  </si>
  <si>
    <t>Chickens: Layers and Broilers</t>
  </si>
  <si>
    <t>Livestock Summary Table</t>
  </si>
  <si>
    <t>May over estimate the acres of forages, because it's alfalfa silage based, rather than corn silage</t>
  </si>
  <si>
    <t>May underestimate acres of pasture, because pasture allotment is based on New York conditions (Peters et al 2006)</t>
  </si>
  <si>
    <t>Wheat</t>
  </si>
  <si>
    <t>NE Beef herd</t>
  </si>
  <si>
    <t>We assume that despite different pasture and forage rations, grain required by NE diary cows is similar to the feed requirements outlined in Peters et al 2005</t>
  </si>
  <si>
    <t>see Ag Footprint for total pasture and forage</t>
  </si>
  <si>
    <t>Non NE Beef -- pasture &amp; hay</t>
  </si>
  <si>
    <t>NE Pasture</t>
  </si>
  <si>
    <t>Non NE Sheep -- hay</t>
  </si>
  <si>
    <t>NE Hay, haylage &amp; silage</t>
  </si>
  <si>
    <t>Non NE Dairy -- alfalfa and grass silage</t>
  </si>
  <si>
    <t>NE Other cropland</t>
  </si>
  <si>
    <t xml:space="preserve">New England Agricultural Production 2007 </t>
  </si>
  <si>
    <t>(all in acres unless otherwise noted)</t>
  </si>
  <si>
    <t>CT</t>
  </si>
  <si>
    <t>MA</t>
  </si>
  <si>
    <t>ME</t>
  </si>
  <si>
    <t>NH</t>
  </si>
  <si>
    <t>RI</t>
  </si>
  <si>
    <t>VT</t>
  </si>
  <si>
    <t>All NE</t>
  </si>
  <si>
    <t>Table 34</t>
  </si>
  <si>
    <t>Collards, Kale</t>
  </si>
  <si>
    <t>Mustard, Chicory, Endive, Turnip</t>
  </si>
  <si>
    <t>Z</t>
  </si>
  <si>
    <t>"Dark Green" vegs subtotal</t>
  </si>
  <si>
    <t>Sum</t>
  </si>
  <si>
    <t>Asparagus</t>
  </si>
  <si>
    <t>Beets</t>
  </si>
  <si>
    <t>Green beans</t>
  </si>
  <si>
    <t>Cabbage, brussel sprouts</t>
  </si>
  <si>
    <t>Cukes</t>
  </si>
  <si>
    <t>Herbs</t>
  </si>
  <si>
    <t>Okra</t>
  </si>
  <si>
    <t>Onions, garlic</t>
  </si>
  <si>
    <t>Parsley</t>
  </si>
  <si>
    <t>Peppers</t>
  </si>
  <si>
    <t>Radishes</t>
  </si>
  <si>
    <t>Rhubarb</t>
  </si>
  <si>
    <t>Summer squash, zucchini</t>
  </si>
  <si>
    <t>Turnips</t>
  </si>
  <si>
    <t>"Other" veg subtotal</t>
  </si>
  <si>
    <t>Winter squash</t>
  </si>
  <si>
    <t>"Orange" veg subtotal</t>
  </si>
  <si>
    <t>Green &amp;  Pod Peas</t>
  </si>
  <si>
    <t>Sweet Corn</t>
  </si>
  <si>
    <t>"Starchy" vegs subtotal</t>
  </si>
  <si>
    <t>Regular veggies subtotal</t>
  </si>
  <si>
    <t>All veggies from Census</t>
  </si>
  <si>
    <t>includes miscellaneous and some not listed because unique grower</t>
  </si>
  <si>
    <t>Dry beans</t>
  </si>
  <si>
    <t>Table 33</t>
  </si>
  <si>
    <t>"Dry Beans &amp; Peas" veg subtotal</t>
  </si>
  <si>
    <t>Greenhouse veggies</t>
  </si>
  <si>
    <t>Table 37</t>
  </si>
  <si>
    <t>Blackberries and dewberries</t>
  </si>
  <si>
    <t>Table 36</t>
  </si>
  <si>
    <t>Blueberry tame</t>
  </si>
  <si>
    <t>Blueberry wild</t>
  </si>
  <si>
    <t>Currants</t>
  </si>
  <si>
    <t xml:space="preserve">All Berries </t>
  </si>
  <si>
    <t>Melons</t>
  </si>
  <si>
    <t>Table 35</t>
  </si>
  <si>
    <t>Apricot</t>
  </si>
  <si>
    <t>Nectarines</t>
  </si>
  <si>
    <t>Plums</t>
  </si>
  <si>
    <t>All non-citrus combined</t>
  </si>
  <si>
    <t>All Orchard</t>
  </si>
  <si>
    <t>7 MA growers</t>
  </si>
  <si>
    <t>Corn grain</t>
  </si>
  <si>
    <t>Corn silage</t>
  </si>
  <si>
    <t>Sorghum for grain</t>
  </si>
  <si>
    <t>Sorghum for silage</t>
  </si>
  <si>
    <t>All Grain subtotal</t>
  </si>
  <si>
    <t>Veg oil crops (canola, sunflower)</t>
  </si>
  <si>
    <t>Sugar beet</t>
  </si>
  <si>
    <t>Maple syrup</t>
  </si>
  <si>
    <t>Table 38</t>
  </si>
  <si>
    <t>Tobacco</t>
  </si>
  <si>
    <t>All hay &amp; haylage</t>
  </si>
  <si>
    <t>Christmas trees (in production)</t>
  </si>
  <si>
    <t>(D)</t>
  </si>
  <si>
    <t>Subtotal Harvested land</t>
  </si>
  <si>
    <t>Cropland harvested</t>
  </si>
  <si>
    <t>Table 8</t>
  </si>
  <si>
    <t>Cropland other</t>
  </si>
  <si>
    <t>Cropland pastured</t>
  </si>
  <si>
    <t>Total cropland</t>
  </si>
  <si>
    <t>Permanent pasture</t>
  </si>
  <si>
    <t xml:space="preserve">Total Cropland &amp; pasture </t>
  </si>
  <si>
    <t>1,000 acres</t>
  </si>
  <si>
    <t>New England total</t>
  </si>
  <si>
    <t>Non-New England total</t>
  </si>
  <si>
    <t>Per capita Ag Footprint of New Englanders</t>
  </si>
  <si>
    <t>Total Ag Footprint of New Enlanders</t>
  </si>
  <si>
    <t>Nut Yield</t>
  </si>
  <si>
    <t>Average</t>
  </si>
  <si>
    <t>Shelling ratio</t>
  </si>
  <si>
    <t>Shelled yield</t>
  </si>
  <si>
    <t>Source:</t>
  </si>
  <si>
    <t>shelled, lbs/ac</t>
  </si>
  <si>
    <t>n/a</t>
  </si>
  <si>
    <t>USDA, NASS, Quick Stats, http://quickstats.nass.usda.gov/</t>
  </si>
  <si>
    <t>in shell, lbs/ac</t>
  </si>
  <si>
    <r>
      <t xml:space="preserve">Andersen, P.C. and T.E. Crocker. (2004, revised 2012) </t>
    </r>
    <r>
      <rPr>
        <i/>
        <sz val="10"/>
        <color indexed="8"/>
        <rFont val="Arial"/>
        <family val="2"/>
      </rPr>
      <t>The Pecan Tree.</t>
    </r>
    <r>
      <rPr>
        <sz val="10"/>
        <color indexed="8"/>
        <rFont val="Arial"/>
        <family val="2"/>
      </rPr>
      <t xml:space="preserve"> Horticultural Science Department, Florida Cooperative Extension. Doc HS982,  http://edis.ifas.ufl.edu/hs229</t>
    </r>
  </si>
  <si>
    <t>Chestnuts</t>
  </si>
  <si>
    <t>in shell (assumed), lbs/ac</t>
  </si>
  <si>
    <r>
      <t xml:space="preserve">Lukasiewicz, J. (1994) "Nuts with Comercial Potential for America's Heartland," </t>
    </r>
    <r>
      <rPr>
        <i/>
        <sz val="10"/>
        <color indexed="8"/>
        <rFont val="Arial"/>
        <family val="2"/>
      </rPr>
      <t>New Crops News.</t>
    </r>
    <r>
      <rPr>
        <sz val="10"/>
        <color indexed="8"/>
        <rFont val="Arial"/>
        <family val="2"/>
      </rPr>
      <t xml:space="preserve"> Center for New Crops and Plant Products, Purdue University. 4 (1).</t>
    </r>
  </si>
  <si>
    <r>
      <t xml:space="preserve">Source for all shelling ratios: Economic Research Service. (1992). </t>
    </r>
    <r>
      <rPr>
        <i/>
        <sz val="10"/>
        <color indexed="8"/>
        <rFont val="Arial"/>
        <family val="2"/>
      </rPr>
      <t>Weights and Measures</t>
    </r>
  </si>
  <si>
    <t>New England Diet</t>
  </si>
  <si>
    <t>Current Diet - ERS Food Availability Data Series</t>
  </si>
  <si>
    <t>Farm B (western Mass)</t>
  </si>
  <si>
    <t>Estimate used for planning</t>
  </si>
  <si>
    <t>5-yr average</t>
  </si>
  <si>
    <t>Tangerines, mandarins, clementines</t>
  </si>
  <si>
    <t xml:space="preserve">Source: </t>
  </si>
  <si>
    <t>United Nations, Food and Agriculture Organization Statistics, median yield (2000-2010) across all producing countries</t>
  </si>
  <si>
    <t>Source for yields</t>
  </si>
  <si>
    <t>NE NASS 5-yr average (2005-2009)</t>
  </si>
  <si>
    <t>Peters et al 2005</t>
  </si>
  <si>
    <t>UN FAO world average (2000-2010)</t>
  </si>
  <si>
    <t>USDA, NASS and California Department of Food and Agriculture, 2013 California Raisin Grape Objective Measurement Report</t>
  </si>
  <si>
    <t>Grain Yields</t>
  </si>
  <si>
    <t>weight of bushel</t>
  </si>
  <si>
    <t>Wheat (bu)</t>
  </si>
  <si>
    <t>Corn (bu)</t>
  </si>
  <si>
    <t>Rice (lbs)</t>
  </si>
  <si>
    <t>na</t>
  </si>
  <si>
    <t>Oats (bu)</t>
  </si>
  <si>
    <t>Barley (bu)</t>
  </si>
  <si>
    <t>Sources</t>
  </si>
  <si>
    <t>Yields: USDA, NASS, Quick Stats, http://quickstats.nass.usda.gov/</t>
  </si>
  <si>
    <r>
      <t xml:space="preserve">Bushel weights: Economic Research Service. (1992). </t>
    </r>
    <r>
      <rPr>
        <i/>
        <sz val="10"/>
        <rFont val="Arial"/>
        <family val="2"/>
      </rPr>
      <t xml:space="preserve">Weights, Measures, and Conversion Factors for Agricultural Commodities and Their Products. </t>
    </r>
    <r>
      <rPr>
        <sz val="10"/>
        <rFont val="Arial"/>
        <family val="2"/>
      </rPr>
      <t>Agricultural Handbook No. (AH-697) 77pp.</t>
    </r>
  </si>
  <si>
    <t xml:space="preserve">USDA, NASS does not report statistics on wheat, corn for grain, rice, or oats for any New England states, and it reports barley yields for Maine only. </t>
  </si>
  <si>
    <t>Maine - Barley (bu)</t>
  </si>
  <si>
    <t>Source</t>
  </si>
  <si>
    <t>USDA, NASS, Quick Stats Lite, http://www.nass.usda.gov/Quick_Stats/Lite</t>
  </si>
  <si>
    <t>Grain (for direct human consumption)</t>
  </si>
  <si>
    <t>Share of consumption</t>
  </si>
  <si>
    <t>after loss serv/day to primary lbs/yr</t>
  </si>
  <si>
    <t>lbs of flour or meal/yr</t>
  </si>
  <si>
    <t>Primary weight, annually</t>
  </si>
  <si>
    <t>Loss-adjusted consumption, daily</t>
  </si>
  <si>
    <t>Milling recovery (amount of milled/white rice from paddy rice) is 65-70%. See International Rice Research Council (www.knowledgebank.irri.org/rkb/index.php/rice-milling) and Louisiana State University Thesis by Rebecca Schram (http://etd.lsu.edu/docs/available/etd-04092010-162834/unrestricted/schrammdiss.pdf)</t>
  </si>
  <si>
    <t xml:space="preserve"> 1 lb wheat equals .98 lb whole wheat flour; .74 lb refined flour.  Assumed corn and oats mainly whole. See Buzby et al</t>
  </si>
  <si>
    <t>Notes:</t>
  </si>
  <si>
    <t>malt/cap</t>
  </si>
  <si>
    <t>barley/cap</t>
  </si>
  <si>
    <t>ALL COUNTRIES IN UN FAO DATABASE</t>
  </si>
  <si>
    <t>Source: Food and Agriculture Organization of the United Nations, the Statistics Division, http://faostat.fao.org/</t>
  </si>
  <si>
    <t>Item</t>
  </si>
  <si>
    <t xml:space="preserve"> med_yield </t>
  </si>
  <si>
    <t xml:space="preserve"> avg_yield </t>
  </si>
  <si>
    <t xml:space="preserve">med_yield_not_US </t>
  </si>
  <si>
    <t xml:space="preserve">avg_yield_not_US </t>
  </si>
  <si>
    <t>hg/ha</t>
  </si>
  <si>
    <t>Walnuts, with shell</t>
  </si>
  <si>
    <t>Pistachios</t>
  </si>
  <si>
    <t>Almonds, with shell</t>
  </si>
  <si>
    <t>Brazil nuts, with shell</t>
  </si>
  <si>
    <t>Cashew nuts, with shell</t>
  </si>
  <si>
    <t>Groundnuts, with shell</t>
  </si>
  <si>
    <t>Hazelnuts, with shell</t>
  </si>
  <si>
    <t>Grapefruit (inc. pomelos)</t>
  </si>
  <si>
    <t>Tangerines, mandarins, clem.</t>
  </si>
  <si>
    <t>Avocados</t>
  </si>
  <si>
    <t>Plantains</t>
  </si>
  <si>
    <t>Papayas</t>
  </si>
  <si>
    <t>Mangoes, mangosteens, guavas</t>
  </si>
  <si>
    <t>Kiwi fruit</t>
  </si>
  <si>
    <t>Cinnamon (canella)</t>
  </si>
  <si>
    <t>Rice, paddy</t>
  </si>
  <si>
    <t>Misc</t>
  </si>
  <si>
    <t>Sugar cane</t>
  </si>
  <si>
    <t>Cocoa beans</t>
  </si>
  <si>
    <t>Coconuts</t>
  </si>
  <si>
    <t>Rapeseed</t>
  </si>
  <si>
    <t>Current Consumption in New England</t>
  </si>
  <si>
    <t>Median Yield Worldwide</t>
  </si>
  <si>
    <t>Yield: United Nations, Food and Agriculture Organization, median yield (2000-2010) across all producing countries</t>
  </si>
  <si>
    <t>Total produced and imported: USDA, Economic Research Service, Food Total Availability Data Series</t>
  </si>
  <si>
    <t xml:space="preserve">ERS does not report about lbs/yr that are exported. However, acreage is so small, the impact would be miniscule. </t>
  </si>
  <si>
    <t>Estimated Current Consumption and Acreage Required</t>
  </si>
  <si>
    <t>Current Consumption and Estimated Acreage Required</t>
  </si>
  <si>
    <t>de</t>
  </si>
  <si>
    <t>Oil Yields</t>
  </si>
  <si>
    <t xml:space="preserve">Soy </t>
  </si>
  <si>
    <t>USDA, NASS, QuickStats http://quickstats.nass.usda.gov/</t>
  </si>
  <si>
    <t>2009/10</t>
  </si>
  <si>
    <t>2010/11</t>
  </si>
  <si>
    <t>2011/12</t>
  </si>
  <si>
    <t>2012/13</t>
  </si>
  <si>
    <t>2013/14</t>
  </si>
  <si>
    <t>tons/ac</t>
  </si>
  <si>
    <t>Sugarbeets</t>
  </si>
  <si>
    <t>USDA, Economic Research Service, Sugar and Sweeteners Yearbook Tables, Table 17</t>
  </si>
  <si>
    <t>Sugarcane</t>
  </si>
  <si>
    <t>USDA, Economic Research Service, Sugar and Sweeteners Yearbook Tables, Table 15</t>
  </si>
  <si>
    <t xml:space="preserve">Iowa State University, University Extension, "High Fructose Corn Syrup - How sweet it is" http://www.extension.iastate.edu/Publications/PM2061.pdf, PM 2061 August 2008. </t>
  </si>
  <si>
    <t>Bearing acreage</t>
  </si>
  <si>
    <t>Production (lbs)</t>
  </si>
  <si>
    <t>US Yield</t>
  </si>
  <si>
    <t>USDA, NASS, Citrus Fruits 2013 Summary. (ISSN: 1948-9048); USDA, NASS Citrus Fruist 2010 Summary (Fr Nt 3-1 (10))</t>
  </si>
  <si>
    <t>2008-2012 Average</t>
  </si>
  <si>
    <t>1999-2003 Average</t>
  </si>
  <si>
    <t>California Raisin Grape Yield</t>
  </si>
  <si>
    <t>2000-2010 Median</t>
  </si>
  <si>
    <t>Worldwide Yield</t>
  </si>
  <si>
    <t>Sources:</t>
  </si>
  <si>
    <t xml:space="preserve">USDA, NASS, New England Field Office. "New England Fruits and Vegetables, 2012 Crop" </t>
  </si>
  <si>
    <t>Peters et al., 2005</t>
  </si>
  <si>
    <t>Other fruit (warm climate)</t>
  </si>
  <si>
    <t>Other berries, grapes (cool climate)</t>
  </si>
  <si>
    <t>Other tree fruit (cool climate)</t>
  </si>
  <si>
    <t>Cool Climate Fruit Total</t>
  </si>
  <si>
    <t>Warm Climate Fruit</t>
  </si>
  <si>
    <t>Warm Climate Friuts</t>
  </si>
  <si>
    <t>Cool Climate Fruits</t>
  </si>
  <si>
    <t>Cool Climate Fruit</t>
  </si>
  <si>
    <t>gals of syrup</t>
  </si>
  <si>
    <t xml:space="preserve">lettuce, greens, broccoli  </t>
  </si>
  <si>
    <t>mostly apples, also cranberries blueberries, grapes</t>
  </si>
  <si>
    <t>1 cup yogurt = 1 cup milk</t>
  </si>
  <si>
    <t>1.5 oz cheese = 1 cup milk</t>
  </si>
  <si>
    <t>1.5 cups ice cream = 1 cup milk</t>
  </si>
  <si>
    <t>Current consumpiton is 3 oz/wk</t>
  </si>
  <si>
    <t xml:space="preserve">Wine </t>
  </si>
  <si>
    <t xml:space="preserve">Spirits </t>
  </si>
  <si>
    <t>USDA Census of Agriculture 2007 -- State level data</t>
  </si>
  <si>
    <t>Reasonable weighted estimate</t>
  </si>
  <si>
    <t xml:space="preserve">Endive/escarole </t>
  </si>
  <si>
    <t xml:space="preserve">Head </t>
  </si>
  <si>
    <t>Leaf</t>
  </si>
  <si>
    <t xml:space="preserve">Malt required per gallon, including spoilage loss, from personal communication with Valley Malt, Feb 11, 2011. </t>
  </si>
  <si>
    <t>Current Diet</t>
  </si>
  <si>
    <t xml:space="preserve">N.d. for true buttermilk, but L= 30% for cultured buttermilk. </t>
  </si>
  <si>
    <t xml:space="preserve">Can be fed to pigs, added to ice creams, etc. </t>
  </si>
  <si>
    <t>**This is based on Peters 2006 rations, with yield of 20,623 lbs/yr</t>
  </si>
  <si>
    <t>*already accounted for in livestock feed</t>
  </si>
  <si>
    <t>exporting most production</t>
  </si>
  <si>
    <t>Most of this grain is actually feed</t>
  </si>
  <si>
    <t>Barley and Rye</t>
  </si>
  <si>
    <t>consumption is for beer -- current NE production not for beer</t>
  </si>
  <si>
    <t>(1,000 acres)</t>
  </si>
  <si>
    <t>14.5 million people</t>
  </si>
  <si>
    <t>New England Current Agricultural Footprint</t>
  </si>
  <si>
    <t>NE NASS average 2007-2011</t>
  </si>
  <si>
    <t>predicted by our model</t>
  </si>
  <si>
    <t>g/d</t>
  </si>
  <si>
    <t>Miscellaneous (Cocoa, potato chips, baking soda, etc)</t>
  </si>
  <si>
    <t>Oils and Solid Fats</t>
  </si>
  <si>
    <t>Note: this acreage number is based on simplifying oil consumption to soy and canola, and is about 30 cals higher than our calculation based on full range of oils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</si>
</sst>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 #,##0.000_);_(* \(#,##0.000\);_(* &quot;-&quot;??_);_(@_)"/>
    <numFmt numFmtId="168" formatCode="_(* #,##0.00000_);_(* \(#,##0.00000\);_(* &quot;-&quot;??_);_(@_)"/>
    <numFmt numFmtId="169" formatCode="0.000"/>
    <numFmt numFmtId="170" formatCode="0.0"/>
    <numFmt numFmtId="171" formatCode="#,##0.0"/>
    <numFmt numFmtId="172" formatCode="#,##0;[Red]#,##0"/>
    <numFmt numFmtId="173" formatCode="_(* #,##0.000_);_(* \(#,##0.000\);_(* &quot;-&quot;???_);_(@_)"/>
    <numFmt numFmtId="174" formatCode="[$-409]dddd\,\ mmmm\ dd\,\ yyyy"/>
    <numFmt numFmtId="175" formatCode="[$-409]h:mm:ss\ AM/PM"/>
    <numFmt numFmtId="176" formatCode="0.0000"/>
    <numFmt numFmtId="177" formatCode="0.00000"/>
    <numFmt numFmtId="178" formatCode="0.000000"/>
    <numFmt numFmtId="179" formatCode="0.00000000"/>
    <numFmt numFmtId="180" formatCode="0.0000000"/>
    <numFmt numFmtId="181" formatCode="0.000000000"/>
    <numFmt numFmtId="182" formatCode="0.0000000000"/>
    <numFmt numFmtId="183" formatCode="0.00000000000"/>
    <numFmt numFmtId="184" formatCode="0.000000000000"/>
    <numFmt numFmtId="185" formatCode="0.0000000000000"/>
    <numFmt numFmtId="186" formatCode="0.00000000000000"/>
    <numFmt numFmtId="187" formatCode="0.000000000000000"/>
    <numFmt numFmtId="188" formatCode="0.0000000000000000"/>
    <numFmt numFmtId="189" formatCode="0.00000000000000000"/>
    <numFmt numFmtId="190" formatCode="0.000000000000000000"/>
    <numFmt numFmtId="191" formatCode="0.0000000000000000000"/>
    <numFmt numFmtId="192" formatCode="0.00000000000000000000"/>
    <numFmt numFmtId="193" formatCode="_(* #,##0.0000_);_(* \(#,##0.0000\);_(* &quot;-&quot;??_);_(@_)"/>
    <numFmt numFmtId="194" formatCode="&quot;Yes&quot;;&quot;Yes&quot;;&quot;No&quot;"/>
    <numFmt numFmtId="195" formatCode="&quot;True&quot;;&quot;True&quot;;&quot;False&quot;"/>
    <numFmt numFmtId="196" formatCode="&quot;On&quot;;&quot;On&quot;;&quot;Off&quot;"/>
    <numFmt numFmtId="197" formatCode="[$€-2]\ #,##0.00_);[Red]\([$€-2]\ #,##0.00\)"/>
    <numFmt numFmtId="198" formatCode="#,##0.0_);\(#,##0.0\)"/>
    <numFmt numFmtId="199" formatCode="_(* #,##0.0000_);_(* \(#,##0.0000\);_(* &quot;-&quot;????_);_(@_)"/>
    <numFmt numFmtId="200" formatCode="_(&quot;$&quot;* #,##0.0_);_(&quot;$&quot;* \(#,##0.0\);_(&quot;$&quot;* &quot;-&quot;??_);_(@_)"/>
    <numFmt numFmtId="201" formatCode="_(&quot;$&quot;* #,##0_);_(&quot;$&quot;* \(#,##0\);_(&quot;$&quot;* &quot;-&quot;??_);_(@_)"/>
    <numFmt numFmtId="202" formatCode="_(* #,##0.0_);_(* \(#,##0.0\);_(* &quot;-&quot;?_);_(@_)"/>
    <numFmt numFmtId="203" formatCode="_(* #,##0.00000000_);_(* \(#,##0.00000000\);_(* &quot;-&quot;????????_);_(@_)"/>
    <numFmt numFmtId="204" formatCode="_(* #,##0.0000000_);_(* \(#,##0.0000000\);_(* &quot;-&quot;???????_);_(@_)"/>
    <numFmt numFmtId="205" formatCode="_(* #,##0.000000_);_(* \(#,##0.000000\);_(* &quot;-&quot;??_);_(@_)"/>
    <numFmt numFmtId="206" formatCode="_(* #,##0.0000000_);_(* \(#,##0.0000000\);_(* &quot;-&quot;??_);_(@_)"/>
    <numFmt numFmtId="207" formatCode="_(* #,##0.00000000_);_(* \(#,##0.00000000\);_(* &quot;-&quot;??_);_(@_)"/>
    <numFmt numFmtId="208" formatCode="_(* #,##0.00000000000000_);_(* \(#,##0.00000000000000\);_(* &quot;-&quot;??????????????_);_(@_)"/>
    <numFmt numFmtId="209" formatCode="#,##0.000"/>
    <numFmt numFmtId="210" formatCode="#,##0.0000"/>
    <numFmt numFmtId="211" formatCode="#,##0.00000"/>
    <numFmt numFmtId="212" formatCode="0.000%"/>
    <numFmt numFmtId="213" formatCode="_(* #,##0.00000_);_(* \(#,##0.00000\);_(* &quot;-&quot;?????_);_(@_)"/>
    <numFmt numFmtId="214" formatCode="_(* #,##0.000000000000000_);_(* \(#,##0.000000000000000\);_(* &quot;-&quot;???????????????_);_(@_)"/>
    <numFmt numFmtId="215" formatCode="_(* #,##0.0000000000000000_);_(* \(#,##0.0000000000000000\);_(* &quot;-&quot;????????????????_);_(@_)"/>
    <numFmt numFmtId="216" formatCode="#,##0.00_________)"/>
    <numFmt numFmtId="217" formatCode="#,##0.0000000000000"/>
    <numFmt numFmtId="218" formatCode="#,##0.000000000000"/>
    <numFmt numFmtId="219" formatCode="#,##0.00000000000"/>
  </numFmts>
  <fonts count="91">
    <font>
      <sz val="10"/>
      <name val="Arial"/>
      <family val="2"/>
    </font>
    <font>
      <sz val="8"/>
      <name val="Arial"/>
      <family val="2"/>
    </font>
    <font>
      <b/>
      <sz val="10"/>
      <name val="Arial"/>
      <family val="2"/>
    </font>
    <font>
      <sz val="11"/>
      <name val="Calibri"/>
      <family val="2"/>
    </font>
    <font>
      <b/>
      <sz val="11"/>
      <name val="Arial"/>
      <family val="2"/>
    </font>
    <font>
      <sz val="11"/>
      <color indexed="10"/>
      <name val="Calibri"/>
      <family val="2"/>
    </font>
    <font>
      <sz val="9"/>
      <name val="Arial"/>
      <family val="2"/>
    </font>
    <font>
      <u val="single"/>
      <sz val="10"/>
      <name val="Arial"/>
      <family val="2"/>
    </font>
    <font>
      <vertAlign val="superscript"/>
      <sz val="8"/>
      <name val="Arial"/>
      <family val="2"/>
    </font>
    <font>
      <b/>
      <sz val="9"/>
      <name val="Tahoma"/>
      <family val="2"/>
    </font>
    <font>
      <sz val="9"/>
      <name val="Tahoma"/>
      <family val="2"/>
    </font>
    <font>
      <b/>
      <sz val="12"/>
      <name val="Arial"/>
      <family val="2"/>
    </font>
    <font>
      <sz val="10"/>
      <color indexed="8"/>
      <name val="Arial"/>
      <family val="2"/>
    </font>
    <font>
      <vertAlign val="superscript"/>
      <sz val="10"/>
      <name val="Arial"/>
      <family val="2"/>
    </font>
    <font>
      <sz val="8"/>
      <color indexed="8"/>
      <name val="Arial"/>
      <family val="2"/>
    </font>
    <font>
      <b/>
      <sz val="14"/>
      <name val="Arial"/>
      <family val="2"/>
    </font>
    <font>
      <i/>
      <sz val="10"/>
      <name val="Arial"/>
      <family val="2"/>
    </font>
    <font>
      <b/>
      <i/>
      <sz val="10"/>
      <name val="Arial"/>
      <family val="2"/>
    </font>
    <font>
      <sz val="12"/>
      <color indexed="8"/>
      <name val="Arial"/>
      <family val="2"/>
    </font>
    <font>
      <i/>
      <sz val="10"/>
      <color indexed="8"/>
      <name val="Arial"/>
      <family val="2"/>
    </font>
    <font>
      <i/>
      <sz val="9"/>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0"/>
      <color indexed="10"/>
      <name val="Arial"/>
      <family val="2"/>
    </font>
    <font>
      <sz val="10"/>
      <color indexed="8"/>
      <name val="Calibri"/>
      <family val="2"/>
    </font>
    <font>
      <sz val="11"/>
      <color indexed="19"/>
      <name val="Calibri"/>
      <family val="2"/>
    </font>
    <font>
      <sz val="11"/>
      <color indexed="23"/>
      <name val="Calibri"/>
      <family val="2"/>
    </font>
    <font>
      <b/>
      <sz val="11"/>
      <color indexed="23"/>
      <name val="Calibri"/>
      <family val="2"/>
    </font>
    <font>
      <sz val="10"/>
      <color indexed="23"/>
      <name val="Arial"/>
      <family val="2"/>
    </font>
    <font>
      <b/>
      <sz val="10"/>
      <color indexed="23"/>
      <name val="Arial"/>
      <family val="2"/>
    </font>
    <font>
      <sz val="9"/>
      <color indexed="8"/>
      <name val="Arial"/>
      <family val="2"/>
    </font>
    <font>
      <i/>
      <sz val="11"/>
      <color indexed="8"/>
      <name val="Calibri"/>
      <family val="2"/>
    </font>
    <font>
      <b/>
      <sz val="12"/>
      <color indexed="8"/>
      <name val="Arial"/>
      <family val="2"/>
    </font>
    <font>
      <b/>
      <sz val="10"/>
      <color indexed="10"/>
      <name val="Arial"/>
      <family val="2"/>
    </font>
    <font>
      <u val="single"/>
      <sz val="10"/>
      <color indexed="8"/>
      <name val="Arial"/>
      <family val="2"/>
    </font>
    <font>
      <b/>
      <sz val="10"/>
      <color indexed="8"/>
      <name val="Arial"/>
      <family val="2"/>
    </font>
    <font>
      <sz val="11"/>
      <color indexed="8"/>
      <name val="Arial"/>
      <family val="2"/>
    </font>
    <font>
      <b/>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1"/>
      <color theme="2" tint="-0.4999699890613556"/>
      <name val="Calibri"/>
      <family val="2"/>
    </font>
    <font>
      <sz val="11"/>
      <color theme="0" tint="-0.4999699890613556"/>
      <name val="Calibri"/>
      <family val="2"/>
    </font>
    <font>
      <b/>
      <sz val="11"/>
      <color theme="0" tint="-0.4999699890613556"/>
      <name val="Calibri"/>
      <family val="2"/>
    </font>
    <font>
      <sz val="10"/>
      <color theme="1"/>
      <name val="Arial"/>
      <family val="2"/>
    </font>
    <font>
      <sz val="10"/>
      <color theme="0" tint="-0.4999699890613556"/>
      <name val="Arial"/>
      <family val="2"/>
    </font>
    <font>
      <b/>
      <sz val="10"/>
      <color theme="0" tint="-0.4999699890613556"/>
      <name val="Arial"/>
      <family val="2"/>
    </font>
    <font>
      <sz val="9"/>
      <color theme="1"/>
      <name val="Arial"/>
      <family val="2"/>
    </font>
    <font>
      <i/>
      <sz val="11"/>
      <color theme="1"/>
      <name val="Calibri"/>
      <family val="2"/>
    </font>
    <font>
      <b/>
      <sz val="12"/>
      <color theme="1"/>
      <name val="Arial"/>
      <family val="2"/>
    </font>
    <font>
      <b/>
      <sz val="10"/>
      <color rgb="FFFF0000"/>
      <name val="Arial"/>
      <family val="2"/>
    </font>
    <font>
      <u val="single"/>
      <sz val="10"/>
      <color theme="1"/>
      <name val="Arial"/>
      <family val="2"/>
    </font>
    <font>
      <b/>
      <sz val="10"/>
      <color theme="1"/>
      <name val="Arial"/>
      <family val="2"/>
    </font>
    <font>
      <sz val="11"/>
      <color theme="1"/>
      <name val="Arial"/>
      <family val="2"/>
    </font>
    <font>
      <b/>
      <u val="single"/>
      <sz val="11"/>
      <color theme="1"/>
      <name val="Calibri"/>
      <family val="2"/>
    </font>
    <font>
      <sz val="11"/>
      <color rgb="FF00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2D050"/>
        <bgColor indexed="64"/>
      </patternFill>
    </fill>
    <fill>
      <patternFill patternType="solid">
        <fgColor rgb="FFFFFF99"/>
        <bgColor indexed="64"/>
      </patternFill>
    </fill>
    <fill>
      <patternFill patternType="solid">
        <fgColor theme="0" tint="-0.24997000396251678"/>
        <bgColor indexed="64"/>
      </patternFill>
    </fill>
    <fill>
      <patternFill patternType="solid">
        <fgColor rgb="FFDD2405"/>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color theme="0" tint="-0.149959996342659"/>
      </top>
      <bottom style="thin">
        <color theme="0" tint="-0.149959996342659"/>
      </bottom>
    </border>
    <border>
      <left>
        <color indexed="63"/>
      </left>
      <right>
        <color indexed="63"/>
      </right>
      <top>
        <color indexed="63"/>
      </top>
      <bottom style="dashDotDot"/>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color indexed="63"/>
      </top>
      <bottom>
        <color indexed="63"/>
      </bottom>
    </border>
    <border>
      <left style="dashDotDot"/>
      <right>
        <color indexed="63"/>
      </right>
      <top>
        <color indexed="63"/>
      </top>
      <bottom>
        <color indexed="63"/>
      </bottom>
    </border>
    <border>
      <left style="dashDotDot"/>
      <right>
        <color indexed="63"/>
      </right>
      <top>
        <color indexed="63"/>
      </top>
      <bottom style="dashDotDot"/>
    </border>
    <border>
      <left>
        <color indexed="63"/>
      </left>
      <right style="dashDotDot"/>
      <top>
        <color indexed="63"/>
      </top>
      <bottom style="dashDotDot"/>
    </border>
    <border>
      <left>
        <color indexed="63"/>
      </left>
      <right style="dashDotDot"/>
      <top style="dashDotDot"/>
      <bottom>
        <color indexed="63"/>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color indexed="22"/>
      </bottom>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medium"/>
      <bottom style="medium"/>
    </border>
    <border>
      <left style="thin"/>
      <right style="thin"/>
      <top style="medium"/>
      <bottom style="medium"/>
    </border>
    <border>
      <left>
        <color indexed="63"/>
      </left>
      <right>
        <color indexed="63"/>
      </right>
      <top style="thin">
        <color indexed="22"/>
      </top>
      <bottom style="thin">
        <color indexed="22"/>
      </bottom>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472">
    <xf numFmtId="0" fontId="0" fillId="0" borderId="0" xfId="0" applyAlignment="1">
      <alignment/>
    </xf>
    <xf numFmtId="3"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3" fontId="0" fillId="0" borderId="0" xfId="0" applyNumberFormat="1" applyBorder="1" applyAlignment="1">
      <alignment/>
    </xf>
    <xf numFmtId="0" fontId="0" fillId="0" borderId="0" xfId="0" applyFill="1" applyBorder="1" applyAlignment="1">
      <alignment/>
    </xf>
    <xf numFmtId="0" fontId="2" fillId="0" borderId="0" xfId="0" applyFont="1" applyFill="1" applyBorder="1" applyAlignment="1">
      <alignment/>
    </xf>
    <xf numFmtId="0" fontId="2" fillId="0" borderId="0" xfId="0" applyFont="1" applyAlignment="1">
      <alignment/>
    </xf>
    <xf numFmtId="0" fontId="73" fillId="0" borderId="0" xfId="0" applyFont="1" applyAlignment="1">
      <alignment/>
    </xf>
    <xf numFmtId="0" fontId="0" fillId="0" borderId="12" xfId="0" applyFill="1" applyBorder="1" applyAlignment="1">
      <alignment/>
    </xf>
    <xf numFmtId="0" fontId="0" fillId="0" borderId="12" xfId="0" applyBorder="1" applyAlignment="1">
      <alignment/>
    </xf>
    <xf numFmtId="0" fontId="73" fillId="0" borderId="11" xfId="0" applyFont="1" applyBorder="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Alignment="1">
      <alignment/>
    </xf>
    <xf numFmtId="164" fontId="0" fillId="0" borderId="0" xfId="42" applyNumberFormat="1" applyFont="1" applyFill="1" applyAlignment="1">
      <alignment horizontal="right"/>
    </xf>
    <xf numFmtId="164" fontId="0" fillId="0" borderId="0" xfId="42" applyNumberFormat="1" applyFont="1" applyFill="1" applyAlignment="1">
      <alignment/>
    </xf>
    <xf numFmtId="2" fontId="1" fillId="0" borderId="0" xfId="0" applyNumberFormat="1" applyFont="1" applyFill="1" applyBorder="1" applyAlignment="1">
      <alignment/>
    </xf>
    <xf numFmtId="0" fontId="0" fillId="0" borderId="0" xfId="0" applyFont="1" applyBorder="1" applyAlignment="1">
      <alignment/>
    </xf>
    <xf numFmtId="0" fontId="0" fillId="0" borderId="13" xfId="0" applyBorder="1" applyAlignment="1">
      <alignment horizontal="center"/>
    </xf>
    <xf numFmtId="0" fontId="0" fillId="0" borderId="13" xfId="0" applyFont="1" applyBorder="1" applyAlignment="1">
      <alignment horizontal="center"/>
    </xf>
    <xf numFmtId="0" fontId="0" fillId="0" borderId="0" xfId="0" applyBorder="1" applyAlignment="1">
      <alignment horizontal="center"/>
    </xf>
    <xf numFmtId="2" fontId="0" fillId="0" borderId="0" xfId="0" applyNumberFormat="1" applyBorder="1" applyAlignment="1">
      <alignment/>
    </xf>
    <xf numFmtId="9" fontId="0" fillId="0" borderId="0" xfId="60" applyFont="1" applyBorder="1" applyAlignment="1">
      <alignment/>
    </xf>
    <xf numFmtId="1" fontId="0" fillId="0" borderId="0" xfId="0" applyNumberFormat="1" applyAlignment="1">
      <alignment/>
    </xf>
    <xf numFmtId="2" fontId="0" fillId="0" borderId="0" xfId="0" applyNumberFormat="1" applyAlignment="1">
      <alignment/>
    </xf>
    <xf numFmtId="171" fontId="0" fillId="0" borderId="0" xfId="0" applyNumberFormat="1" applyAlignment="1">
      <alignment/>
    </xf>
    <xf numFmtId="170" fontId="0" fillId="0" borderId="0" xfId="0" applyNumberFormat="1" applyAlignment="1">
      <alignment/>
    </xf>
    <xf numFmtId="4" fontId="0" fillId="0" borderId="0" xfId="0" applyNumberFormat="1" applyAlignment="1">
      <alignment/>
    </xf>
    <xf numFmtId="0" fontId="0" fillId="0" borderId="0" xfId="0" applyAlignment="1">
      <alignment wrapText="1"/>
    </xf>
    <xf numFmtId="0" fontId="71" fillId="0" borderId="0" xfId="0" applyFont="1" applyAlignment="1">
      <alignment/>
    </xf>
    <xf numFmtId="164" fontId="0" fillId="0" borderId="0" xfId="42" applyNumberFormat="1" applyFont="1" applyBorder="1" applyAlignment="1">
      <alignment/>
    </xf>
    <xf numFmtId="0" fontId="0" fillId="0" borderId="0" xfId="0" applyFill="1" applyAlignment="1">
      <alignment/>
    </xf>
    <xf numFmtId="164" fontId="0" fillId="0" borderId="0" xfId="42" applyNumberFormat="1" applyFont="1" applyFill="1" applyBorder="1" applyAlignment="1">
      <alignment/>
    </xf>
    <xf numFmtId="3" fontId="0" fillId="0" borderId="0" xfId="0" applyNumberFormat="1" applyFill="1" applyBorder="1" applyAlignment="1">
      <alignment/>
    </xf>
    <xf numFmtId="0" fontId="0" fillId="0" borderId="0" xfId="0" applyAlignment="1">
      <alignment horizontal="center"/>
    </xf>
    <xf numFmtId="0" fontId="0" fillId="0" borderId="0" xfId="0" applyFont="1" applyBorder="1" applyAlignment="1">
      <alignment horizontal="center"/>
    </xf>
    <xf numFmtId="0" fontId="0" fillId="0" borderId="0" xfId="0" applyFont="1" applyBorder="1" applyAlignment="1">
      <alignment horizontal="left" indent="1"/>
    </xf>
    <xf numFmtId="0" fontId="0" fillId="0" borderId="0" xfId="0" applyFont="1" applyAlignment="1">
      <alignment wrapText="1"/>
    </xf>
    <xf numFmtId="0" fontId="0" fillId="0" borderId="0" xfId="0" applyFont="1" applyAlignment="1">
      <alignment horizontal="left"/>
    </xf>
    <xf numFmtId="0" fontId="0" fillId="0" borderId="0" xfId="0" applyFont="1" applyBorder="1" applyAlignment="1">
      <alignment/>
    </xf>
    <xf numFmtId="164" fontId="0" fillId="0" borderId="0" xfId="42" applyNumberFormat="1" applyFont="1" applyBorder="1" applyAlignment="1">
      <alignment/>
    </xf>
    <xf numFmtId="164" fontId="0" fillId="0" borderId="0" xfId="42" applyNumberFormat="1" applyFont="1" applyBorder="1" applyAlignment="1">
      <alignment/>
    </xf>
    <xf numFmtId="0" fontId="0" fillId="0" borderId="0" xfId="0" applyFont="1" applyAlignment="1">
      <alignment/>
    </xf>
    <xf numFmtId="3" fontId="0" fillId="0" borderId="0" xfId="0" applyNumberFormat="1" applyFill="1" applyAlignment="1">
      <alignment/>
    </xf>
    <xf numFmtId="0" fontId="0" fillId="0" borderId="0" xfId="0" applyFont="1" applyFill="1" applyAlignment="1">
      <alignment/>
    </xf>
    <xf numFmtId="164" fontId="0" fillId="0" borderId="11" xfId="42" applyNumberFormat="1" applyFont="1" applyBorder="1" applyAlignment="1">
      <alignment/>
    </xf>
    <xf numFmtId="9" fontId="0" fillId="0" borderId="0" xfId="60" applyFont="1" applyAlignment="1">
      <alignment/>
    </xf>
    <xf numFmtId="166" fontId="0" fillId="0" borderId="0" xfId="42" applyNumberFormat="1" applyFont="1" applyAlignment="1">
      <alignment/>
    </xf>
    <xf numFmtId="164" fontId="71" fillId="0" borderId="0" xfId="42" applyNumberFormat="1" applyFont="1" applyAlignment="1">
      <alignment/>
    </xf>
    <xf numFmtId="43" fontId="0" fillId="0" borderId="0" xfId="42" applyNumberFormat="1" applyFont="1" applyAlignment="1">
      <alignment/>
    </xf>
    <xf numFmtId="167" fontId="0" fillId="0" borderId="0" xfId="42" applyNumberFormat="1" applyFont="1" applyAlignment="1">
      <alignment/>
    </xf>
    <xf numFmtId="164" fontId="3" fillId="0" borderId="0" xfId="42" applyNumberFormat="1" applyFont="1" applyAlignment="1">
      <alignment/>
    </xf>
    <xf numFmtId="164" fontId="0" fillId="0" borderId="0" xfId="42" applyNumberFormat="1" applyFont="1" applyAlignment="1">
      <alignment horizontal="right"/>
    </xf>
    <xf numFmtId="164" fontId="0" fillId="0" borderId="0" xfId="42" applyNumberFormat="1" applyFont="1" applyFill="1" applyAlignment="1">
      <alignment horizontal="left" indent="1"/>
    </xf>
    <xf numFmtId="9" fontId="0" fillId="0" borderId="0" xfId="60" applyFont="1" applyFill="1" applyAlignment="1">
      <alignment/>
    </xf>
    <xf numFmtId="164" fontId="0" fillId="0" borderId="0" xfId="42" applyNumberFormat="1" applyFont="1" applyAlignment="1">
      <alignment horizontal="left" indent="1"/>
    </xf>
    <xf numFmtId="43" fontId="0" fillId="0" borderId="0" xfId="0" applyNumberFormat="1" applyAlignment="1">
      <alignment/>
    </xf>
    <xf numFmtId="169" fontId="3" fillId="0" borderId="0" xfId="0" applyNumberFormat="1" applyFont="1" applyFill="1" applyBorder="1" applyAlignment="1">
      <alignment horizontal="left"/>
    </xf>
    <xf numFmtId="0" fontId="3" fillId="0" borderId="0" xfId="0" applyFont="1" applyFill="1" applyBorder="1" applyAlignment="1">
      <alignment horizontal="left"/>
    </xf>
    <xf numFmtId="170" fontId="1" fillId="0" borderId="0" xfId="0" applyNumberFormat="1" applyFont="1" applyFill="1" applyBorder="1" applyAlignment="1">
      <alignment/>
    </xf>
    <xf numFmtId="0" fontId="0" fillId="33" borderId="0" xfId="0" applyFill="1" applyAlignment="1">
      <alignment/>
    </xf>
    <xf numFmtId="0" fontId="0" fillId="33" borderId="0" xfId="0" applyFill="1" applyBorder="1" applyAlignment="1">
      <alignment/>
    </xf>
    <xf numFmtId="3" fontId="0" fillId="0" borderId="0" xfId="0" applyNumberFormat="1" applyFont="1" applyAlignment="1">
      <alignment/>
    </xf>
    <xf numFmtId="0" fontId="0" fillId="0" borderId="11" xfId="0" applyFont="1" applyBorder="1" applyAlignment="1">
      <alignment/>
    </xf>
    <xf numFmtId="0" fontId="0" fillId="0" borderId="10" xfId="0" applyFont="1" applyBorder="1" applyAlignment="1">
      <alignment/>
    </xf>
    <xf numFmtId="164" fontId="0" fillId="0" borderId="14" xfId="42" applyNumberFormat="1" applyFont="1" applyBorder="1" applyAlignment="1">
      <alignment/>
    </xf>
    <xf numFmtId="0" fontId="0" fillId="0" borderId="11" xfId="0" applyFont="1" applyFill="1" applyBorder="1" applyAlignment="1">
      <alignment/>
    </xf>
    <xf numFmtId="0" fontId="0" fillId="0" borderId="0" xfId="0" applyAlignment="1">
      <alignment/>
    </xf>
    <xf numFmtId="3" fontId="6" fillId="0" borderId="0" xfId="0" applyNumberFormat="1" applyFont="1" applyAlignment="1">
      <alignment/>
    </xf>
    <xf numFmtId="0" fontId="0" fillId="0" borderId="0" xfId="0" applyFont="1" applyAlignment="1">
      <alignment horizontal="left" indent="1"/>
    </xf>
    <xf numFmtId="0" fontId="1" fillId="0" borderId="0" xfId="0" applyFont="1" applyAlignment="1">
      <alignment/>
    </xf>
    <xf numFmtId="0" fontId="0" fillId="0" borderId="0" xfId="0" applyAlignment="1">
      <alignment horizontal="left" indent="1"/>
    </xf>
    <xf numFmtId="0" fontId="74" fillId="0" borderId="0" xfId="0" applyFont="1" applyAlignment="1">
      <alignment wrapText="1"/>
    </xf>
    <xf numFmtId="4" fontId="74" fillId="0" borderId="0" xfId="0" applyNumberFormat="1" applyFont="1" applyAlignment="1">
      <alignment wrapText="1"/>
    </xf>
    <xf numFmtId="164" fontId="74" fillId="0" borderId="0" xfId="42" applyNumberFormat="1" applyFont="1" applyAlignment="1">
      <alignment wrapText="1"/>
    </xf>
    <xf numFmtId="0" fontId="74" fillId="0" borderId="0" xfId="0" applyFont="1" applyFill="1" applyAlignment="1">
      <alignment wrapText="1"/>
    </xf>
    <xf numFmtId="164" fontId="74" fillId="0" borderId="0" xfId="42" applyNumberFormat="1" applyFont="1" applyFill="1" applyAlignment="1">
      <alignment wrapText="1"/>
    </xf>
    <xf numFmtId="0" fontId="74" fillId="0" borderId="0" xfId="0" applyFont="1" applyAlignment="1">
      <alignment/>
    </xf>
    <xf numFmtId="0" fontId="74" fillId="0" borderId="0" xfId="0" applyFont="1" applyAlignment="1">
      <alignment/>
    </xf>
    <xf numFmtId="0" fontId="74" fillId="0" borderId="0" xfId="0" applyNumberFormat="1" applyFont="1" applyAlignment="1">
      <alignment/>
    </xf>
    <xf numFmtId="164" fontId="74" fillId="0" borderId="0" xfId="42" applyNumberFormat="1" applyFont="1" applyAlignment="1">
      <alignment/>
    </xf>
    <xf numFmtId="0" fontId="74" fillId="0" borderId="0" xfId="0" applyFont="1" applyFill="1" applyAlignment="1">
      <alignment/>
    </xf>
    <xf numFmtId="164" fontId="54" fillId="0" borderId="0" xfId="42" applyNumberFormat="1" applyFont="1" applyFill="1" applyAlignment="1">
      <alignment/>
    </xf>
    <xf numFmtId="0" fontId="0" fillId="0" borderId="13" xfId="0" applyBorder="1" applyAlignment="1">
      <alignment/>
    </xf>
    <xf numFmtId="4" fontId="0" fillId="0" borderId="13" xfId="0" applyNumberFormat="1" applyBorder="1" applyAlignment="1">
      <alignment/>
    </xf>
    <xf numFmtId="164" fontId="0" fillId="0" borderId="13" xfId="42" applyNumberFormat="1" applyFont="1" applyBorder="1" applyAlignment="1">
      <alignment horizontal="center"/>
    </xf>
    <xf numFmtId="0" fontId="0" fillId="0" borderId="13" xfId="0" applyFill="1" applyBorder="1" applyAlignment="1">
      <alignment horizontal="center"/>
    </xf>
    <xf numFmtId="164" fontId="54" fillId="0" borderId="13" xfId="42" applyNumberFormat="1" applyFont="1" applyFill="1" applyBorder="1" applyAlignment="1">
      <alignment horizontal="center"/>
    </xf>
    <xf numFmtId="164" fontId="0" fillId="0" borderId="12" xfId="42" applyNumberFormat="1" applyFont="1" applyBorder="1" applyAlignment="1">
      <alignment horizontal="center"/>
    </xf>
    <xf numFmtId="4" fontId="71" fillId="0" borderId="0" xfId="0" applyNumberFormat="1" applyFont="1" applyAlignment="1">
      <alignment/>
    </xf>
    <xf numFmtId="164" fontId="71" fillId="0" borderId="0" xfId="0" applyNumberFormat="1" applyFont="1" applyAlignment="1">
      <alignment/>
    </xf>
    <xf numFmtId="43" fontId="71" fillId="0" borderId="0" xfId="42" applyNumberFormat="1" applyFont="1" applyAlignment="1">
      <alignment/>
    </xf>
    <xf numFmtId="164" fontId="71" fillId="0" borderId="0" xfId="42" applyNumberFormat="1" applyFont="1" applyFill="1" applyAlignment="1">
      <alignment/>
    </xf>
    <xf numFmtId="0" fontId="0" fillId="0" borderId="0" xfId="0" applyFont="1" applyAlignment="1">
      <alignment horizontal="left" indent="1"/>
    </xf>
    <xf numFmtId="4" fontId="0" fillId="0" borderId="0" xfId="0" applyNumberFormat="1" applyAlignment="1">
      <alignment horizontal="right"/>
    </xf>
    <xf numFmtId="164" fontId="54" fillId="0" borderId="0" xfId="42" applyNumberFormat="1" applyFont="1" applyFill="1" applyBorder="1" applyAlignment="1">
      <alignment/>
    </xf>
    <xf numFmtId="164" fontId="0" fillId="0" borderId="0" xfId="42" applyNumberFormat="1" applyFont="1" applyFill="1" applyBorder="1" applyAlignment="1">
      <alignment horizontal="right"/>
    </xf>
    <xf numFmtId="3" fontId="0" fillId="0" borderId="0" xfId="0" applyNumberFormat="1" applyAlignment="1">
      <alignment horizontal="left" indent="1"/>
    </xf>
    <xf numFmtId="2" fontId="3" fillId="0" borderId="15" xfId="0" applyNumberFormat="1" applyFont="1" applyBorder="1" applyAlignment="1">
      <alignment/>
    </xf>
    <xf numFmtId="2" fontId="3" fillId="0" borderId="15" xfId="0" applyNumberFormat="1" applyFont="1" applyBorder="1" applyAlignment="1">
      <alignment horizontal="right"/>
    </xf>
    <xf numFmtId="164" fontId="54" fillId="0" borderId="0" xfId="42" applyNumberFormat="1" applyFont="1" applyFill="1" applyAlignment="1">
      <alignment horizontal="left" indent="1"/>
    </xf>
    <xf numFmtId="0" fontId="0" fillId="0" borderId="0" xfId="0" applyAlignment="1">
      <alignment horizontal="left" indent="2"/>
    </xf>
    <xf numFmtId="4" fontId="0" fillId="0" borderId="0" xfId="0" applyNumberFormat="1" applyAlignment="1">
      <alignment horizontal="right" indent="1"/>
    </xf>
    <xf numFmtId="164" fontId="54" fillId="0" borderId="0" xfId="42" applyNumberFormat="1" applyFont="1" applyFill="1" applyAlignment="1">
      <alignment horizontal="left" vertical="center"/>
    </xf>
    <xf numFmtId="0" fontId="75" fillId="0" borderId="0" xfId="0" applyFont="1" applyFill="1" applyAlignment="1">
      <alignment horizontal="left" vertical="center"/>
    </xf>
    <xf numFmtId="164" fontId="0" fillId="0" borderId="16" xfId="42" applyNumberFormat="1" applyFont="1" applyFill="1" applyBorder="1" applyAlignment="1">
      <alignment horizontal="right"/>
    </xf>
    <xf numFmtId="3" fontId="0" fillId="0" borderId="16" xfId="0" applyNumberFormat="1" applyBorder="1" applyAlignment="1">
      <alignment/>
    </xf>
    <xf numFmtId="0" fontId="76" fillId="34" borderId="17" xfId="0" applyFont="1" applyFill="1" applyBorder="1" applyAlignment="1">
      <alignment horizontal="left" indent="1"/>
    </xf>
    <xf numFmtId="0" fontId="76" fillId="34" borderId="18" xfId="0" applyFont="1" applyFill="1" applyBorder="1" applyAlignment="1">
      <alignment/>
    </xf>
    <xf numFmtId="4" fontId="76" fillId="34" borderId="18" xfId="0" applyNumberFormat="1" applyFont="1" applyFill="1" applyBorder="1" applyAlignment="1">
      <alignment horizontal="right"/>
    </xf>
    <xf numFmtId="164" fontId="76" fillId="34" borderId="18" xfId="42" applyNumberFormat="1" applyFont="1" applyFill="1" applyBorder="1" applyAlignment="1">
      <alignment/>
    </xf>
    <xf numFmtId="164" fontId="76" fillId="34" borderId="0" xfId="42" applyNumberFormat="1" applyFont="1" applyFill="1" applyBorder="1" applyAlignment="1">
      <alignment/>
    </xf>
    <xf numFmtId="0" fontId="76" fillId="34" borderId="19" xfId="0" applyFont="1" applyFill="1" applyBorder="1" applyAlignment="1">
      <alignment/>
    </xf>
    <xf numFmtId="0" fontId="76" fillId="34" borderId="0" xfId="0" applyFont="1" applyFill="1" applyAlignment="1">
      <alignment/>
    </xf>
    <xf numFmtId="164" fontId="76" fillId="34" borderId="0" xfId="42" applyNumberFormat="1" applyFont="1" applyFill="1" applyAlignment="1">
      <alignment/>
    </xf>
    <xf numFmtId="0" fontId="76" fillId="34" borderId="20" xfId="0" applyFont="1" applyFill="1" applyBorder="1" applyAlignment="1">
      <alignment horizontal="left" indent="1"/>
    </xf>
    <xf numFmtId="0" fontId="76" fillId="34" borderId="0" xfId="0" applyFont="1" applyFill="1" applyBorder="1" applyAlignment="1">
      <alignment/>
    </xf>
    <xf numFmtId="4" fontId="76" fillId="34" borderId="0" xfId="0" applyNumberFormat="1" applyFont="1" applyFill="1" applyBorder="1" applyAlignment="1">
      <alignment horizontal="right"/>
    </xf>
    <xf numFmtId="164" fontId="77" fillId="34" borderId="0" xfId="0" applyNumberFormat="1" applyFont="1" applyFill="1" applyBorder="1" applyAlignment="1">
      <alignment/>
    </xf>
    <xf numFmtId="3" fontId="76" fillId="34" borderId="19" xfId="0" applyNumberFormat="1" applyFont="1" applyFill="1" applyBorder="1" applyAlignment="1">
      <alignment/>
    </xf>
    <xf numFmtId="3" fontId="76" fillId="34" borderId="0" xfId="0" applyNumberFormat="1" applyFont="1" applyFill="1" applyBorder="1" applyAlignment="1">
      <alignment/>
    </xf>
    <xf numFmtId="0" fontId="76" fillId="34" borderId="21" xfId="0" applyFont="1" applyFill="1" applyBorder="1" applyAlignment="1">
      <alignment horizontal="left" indent="1"/>
    </xf>
    <xf numFmtId="0" fontId="76" fillId="34" borderId="16" xfId="0" applyFont="1" applyFill="1" applyBorder="1" applyAlignment="1">
      <alignment/>
    </xf>
    <xf numFmtId="3" fontId="76" fillId="34" borderId="16" xfId="0" applyNumberFormat="1" applyFont="1" applyFill="1" applyBorder="1" applyAlignment="1">
      <alignment/>
    </xf>
    <xf numFmtId="4" fontId="76" fillId="34" borderId="16" xfId="0" applyNumberFormat="1" applyFont="1" applyFill="1" applyBorder="1" applyAlignment="1">
      <alignment/>
    </xf>
    <xf numFmtId="164" fontId="76" fillId="34" borderId="16" xfId="42" applyNumberFormat="1" applyFont="1" applyFill="1" applyBorder="1" applyAlignment="1">
      <alignment/>
    </xf>
    <xf numFmtId="3" fontId="76" fillId="34" borderId="22" xfId="0" applyNumberFormat="1" applyFont="1" applyFill="1" applyBorder="1" applyAlignment="1">
      <alignment/>
    </xf>
    <xf numFmtId="0" fontId="75" fillId="0" borderId="0" xfId="0" applyFont="1" applyBorder="1" applyAlignment="1">
      <alignment horizontal="left" indent="1"/>
    </xf>
    <xf numFmtId="0" fontId="75" fillId="0" borderId="0" xfId="0" applyFont="1" applyBorder="1" applyAlignment="1">
      <alignment/>
    </xf>
    <xf numFmtId="3" fontId="75" fillId="0" borderId="0" xfId="0" applyNumberFormat="1" applyFont="1" applyBorder="1" applyAlignment="1">
      <alignment/>
    </xf>
    <xf numFmtId="4" fontId="75" fillId="0" borderId="0" xfId="0" applyNumberFormat="1" applyFont="1" applyBorder="1" applyAlignment="1">
      <alignment/>
    </xf>
    <xf numFmtId="164" fontId="75" fillId="0" borderId="0" xfId="42" applyNumberFormat="1" applyFont="1" applyBorder="1" applyAlignment="1">
      <alignment/>
    </xf>
    <xf numFmtId="0" fontId="75" fillId="0" borderId="0" xfId="0" applyFont="1" applyFill="1" applyBorder="1" applyAlignment="1">
      <alignment/>
    </xf>
    <xf numFmtId="164" fontId="75" fillId="0" borderId="0" xfId="42" applyNumberFormat="1" applyFont="1" applyFill="1" applyBorder="1" applyAlignment="1">
      <alignment/>
    </xf>
    <xf numFmtId="164" fontId="75" fillId="0" borderId="0" xfId="42" applyNumberFormat="1" applyFont="1" applyAlignment="1">
      <alignment/>
    </xf>
    <xf numFmtId="0" fontId="75" fillId="0" borderId="0" xfId="0" applyFont="1" applyAlignment="1">
      <alignment/>
    </xf>
    <xf numFmtId="4" fontId="71" fillId="0" borderId="0" xfId="42" applyNumberFormat="1" applyFont="1" applyAlignment="1">
      <alignment/>
    </xf>
    <xf numFmtId="164" fontId="0" fillId="33" borderId="0" xfId="42" applyNumberFormat="1" applyFont="1" applyFill="1" applyBorder="1" applyAlignment="1">
      <alignment/>
    </xf>
    <xf numFmtId="3" fontId="76" fillId="34" borderId="18" xfId="0" applyNumberFormat="1" applyFont="1" applyFill="1" applyBorder="1" applyAlignment="1">
      <alignment/>
    </xf>
    <xf numFmtId="4" fontId="76" fillId="34" borderId="18" xfId="0" applyNumberFormat="1" applyFont="1" applyFill="1" applyBorder="1" applyAlignment="1">
      <alignment/>
    </xf>
    <xf numFmtId="3" fontId="76" fillId="34" borderId="23" xfId="0" applyNumberFormat="1" applyFont="1" applyFill="1" applyBorder="1" applyAlignment="1">
      <alignment/>
    </xf>
    <xf numFmtId="164" fontId="71" fillId="0" borderId="0" xfId="0" applyNumberFormat="1" applyFont="1" applyFill="1" applyAlignment="1">
      <alignment/>
    </xf>
    <xf numFmtId="164" fontId="71" fillId="0" borderId="0" xfId="42" applyNumberFormat="1" applyFont="1" applyBorder="1" applyAlignment="1">
      <alignment/>
    </xf>
    <xf numFmtId="164" fontId="54" fillId="34" borderId="0" xfId="42" applyNumberFormat="1" applyFont="1" applyFill="1" applyBorder="1" applyAlignment="1">
      <alignment/>
    </xf>
    <xf numFmtId="4" fontId="0" fillId="0" borderId="16" xfId="0" applyNumberFormat="1" applyBorder="1" applyAlignment="1">
      <alignment/>
    </xf>
    <xf numFmtId="164" fontId="0" fillId="0" borderId="16" xfId="42" applyNumberFormat="1" applyFont="1" applyBorder="1" applyAlignment="1">
      <alignment/>
    </xf>
    <xf numFmtId="164" fontId="0" fillId="0" borderId="16" xfId="42" applyNumberFormat="1" applyFont="1" applyFill="1" applyBorder="1" applyAlignment="1">
      <alignment/>
    </xf>
    <xf numFmtId="0" fontId="75" fillId="34" borderId="17" xfId="0" applyFont="1" applyFill="1" applyBorder="1" applyAlignment="1">
      <alignment horizontal="left" indent="1"/>
    </xf>
    <xf numFmtId="0" fontId="75" fillId="34" borderId="18" xfId="0" applyFont="1" applyFill="1" applyBorder="1" applyAlignment="1">
      <alignment/>
    </xf>
    <xf numFmtId="3" fontId="75" fillId="34" borderId="18" xfId="0" applyNumberFormat="1" applyFont="1" applyFill="1" applyBorder="1" applyAlignment="1">
      <alignment/>
    </xf>
    <xf numFmtId="4" fontId="75" fillId="34" borderId="0" xfId="0" applyNumberFormat="1" applyFont="1" applyFill="1" applyBorder="1" applyAlignment="1">
      <alignment/>
    </xf>
    <xf numFmtId="0" fontId="75" fillId="34" borderId="0" xfId="0" applyFont="1" applyFill="1" applyBorder="1" applyAlignment="1">
      <alignment/>
    </xf>
    <xf numFmtId="0" fontId="75" fillId="34" borderId="0" xfId="0" applyFont="1" applyFill="1" applyAlignment="1">
      <alignment/>
    </xf>
    <xf numFmtId="164" fontId="75" fillId="34" borderId="18" xfId="42" applyNumberFormat="1" applyFont="1" applyFill="1" applyBorder="1" applyAlignment="1">
      <alignment/>
    </xf>
    <xf numFmtId="164" fontId="75" fillId="34" borderId="0" xfId="42" applyNumberFormat="1" applyFont="1" applyFill="1" applyBorder="1" applyAlignment="1">
      <alignment/>
    </xf>
    <xf numFmtId="0" fontId="75" fillId="34" borderId="19" xfId="0" applyFont="1" applyFill="1" applyBorder="1" applyAlignment="1">
      <alignment/>
    </xf>
    <xf numFmtId="164" fontId="75" fillId="34" borderId="0" xfId="42" applyNumberFormat="1" applyFont="1" applyFill="1" applyAlignment="1">
      <alignment/>
    </xf>
    <xf numFmtId="0" fontId="75" fillId="34" borderId="20" xfId="0" applyFont="1" applyFill="1" applyBorder="1" applyAlignment="1">
      <alignment horizontal="left" indent="1"/>
    </xf>
    <xf numFmtId="3" fontId="75" fillId="34" borderId="0" xfId="0" applyNumberFormat="1" applyFont="1" applyFill="1" applyBorder="1" applyAlignment="1">
      <alignment/>
    </xf>
    <xf numFmtId="164" fontId="0" fillId="34" borderId="0" xfId="42" applyNumberFormat="1" applyFont="1" applyFill="1" applyAlignment="1">
      <alignment/>
    </xf>
    <xf numFmtId="3" fontId="75" fillId="34" borderId="19" xfId="0" applyNumberFormat="1" applyFont="1" applyFill="1" applyBorder="1" applyAlignment="1">
      <alignment/>
    </xf>
    <xf numFmtId="0" fontId="75" fillId="34" borderId="21" xfId="0" applyFont="1" applyFill="1" applyBorder="1" applyAlignment="1">
      <alignment horizontal="left" indent="1"/>
    </xf>
    <xf numFmtId="3" fontId="75" fillId="34" borderId="16" xfId="0" applyNumberFormat="1" applyFont="1" applyFill="1" applyBorder="1" applyAlignment="1">
      <alignment/>
    </xf>
    <xf numFmtId="4" fontId="75" fillId="34" borderId="16" xfId="0" applyNumberFormat="1" applyFont="1" applyFill="1" applyBorder="1" applyAlignment="1">
      <alignment/>
    </xf>
    <xf numFmtId="164" fontId="75" fillId="34" borderId="16" xfId="42" applyNumberFormat="1" applyFont="1" applyFill="1" applyBorder="1" applyAlignment="1">
      <alignment/>
    </xf>
    <xf numFmtId="0" fontId="75" fillId="34" borderId="16" xfId="0" applyFont="1" applyFill="1" applyBorder="1" applyAlignment="1">
      <alignment/>
    </xf>
    <xf numFmtId="3" fontId="75" fillId="34" borderId="22" xfId="0" applyNumberFormat="1" applyFont="1" applyFill="1" applyBorder="1" applyAlignment="1">
      <alignment/>
    </xf>
    <xf numFmtId="0" fontId="71" fillId="0" borderId="0" xfId="0" applyFont="1" applyAlignment="1">
      <alignment horizontal="left"/>
    </xf>
    <xf numFmtId="0" fontId="0" fillId="0" borderId="0" xfId="0" applyAlignment="1">
      <alignment horizontal="left" indent="3"/>
    </xf>
    <xf numFmtId="0" fontId="74" fillId="0" borderId="0" xfId="0" applyFont="1" applyBorder="1" applyAlignment="1">
      <alignment/>
    </xf>
    <xf numFmtId="164" fontId="0" fillId="0" borderId="13" xfId="42" applyNumberFormat="1" applyFont="1" applyBorder="1" applyAlignment="1">
      <alignment/>
    </xf>
    <xf numFmtId="0" fontId="0" fillId="0" borderId="24" xfId="0" applyBorder="1" applyAlignment="1">
      <alignment horizontal="center"/>
    </xf>
    <xf numFmtId="0" fontId="0" fillId="0" borderId="24" xfId="0" applyBorder="1" applyAlignment="1">
      <alignment/>
    </xf>
    <xf numFmtId="164" fontId="0" fillId="0" borderId="0" xfId="0" applyNumberFormat="1" applyBorder="1" applyAlignment="1">
      <alignment/>
    </xf>
    <xf numFmtId="0" fontId="0" fillId="0" borderId="0" xfId="0" applyBorder="1" applyAlignment="1">
      <alignment/>
    </xf>
    <xf numFmtId="43" fontId="0" fillId="0" borderId="0" xfId="0" applyNumberFormat="1" applyBorder="1" applyAlignment="1">
      <alignment/>
    </xf>
    <xf numFmtId="1" fontId="0" fillId="0" borderId="0" xfId="0" applyNumberFormat="1" applyFill="1" applyAlignment="1">
      <alignment/>
    </xf>
    <xf numFmtId="1" fontId="0" fillId="0" borderId="11" xfId="0" applyNumberFormat="1" applyFill="1" applyBorder="1" applyAlignment="1">
      <alignment/>
    </xf>
    <xf numFmtId="3" fontId="0" fillId="0" borderId="12" xfId="0" applyNumberFormat="1" applyFill="1" applyBorder="1" applyAlignment="1">
      <alignment/>
    </xf>
    <xf numFmtId="0" fontId="0" fillId="0" borderId="13" xfId="0" applyFont="1" applyBorder="1" applyAlignment="1">
      <alignment/>
    </xf>
    <xf numFmtId="164" fontId="0" fillId="0" borderId="0" xfId="42" applyNumberFormat="1" applyFont="1" applyFill="1" applyAlignment="1">
      <alignment/>
    </xf>
    <xf numFmtId="0" fontId="0" fillId="0" borderId="0" xfId="0" applyFont="1" applyAlignment="1">
      <alignment horizontal="right"/>
    </xf>
    <xf numFmtId="164" fontId="0" fillId="0" borderId="0" xfId="42" applyNumberFormat="1" applyFont="1" applyFill="1" applyBorder="1" applyAlignment="1">
      <alignment/>
    </xf>
    <xf numFmtId="0" fontId="0" fillId="0" borderId="0" xfId="0" applyFont="1" applyBorder="1" applyAlignment="1">
      <alignment horizontal="right"/>
    </xf>
    <xf numFmtId="164" fontId="0" fillId="0" borderId="0" xfId="0" applyNumberFormat="1" applyFont="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74" fillId="33" borderId="0" xfId="0" applyFont="1" applyFill="1" applyAlignment="1">
      <alignment/>
    </xf>
    <xf numFmtId="164" fontId="54" fillId="33" borderId="13" xfId="42" applyNumberFormat="1" applyFont="1" applyFill="1" applyBorder="1" applyAlignment="1">
      <alignment horizontal="center"/>
    </xf>
    <xf numFmtId="3" fontId="71" fillId="33" borderId="0" xfId="0" applyNumberFormat="1" applyFont="1" applyFill="1" applyAlignment="1">
      <alignment/>
    </xf>
    <xf numFmtId="0" fontId="0" fillId="33" borderId="0" xfId="0" applyFill="1" applyAlignment="1">
      <alignment horizontal="left" indent="1"/>
    </xf>
    <xf numFmtId="0" fontId="76" fillId="33" borderId="0" xfId="0" applyFont="1" applyFill="1" applyAlignment="1">
      <alignment/>
    </xf>
    <xf numFmtId="0" fontId="75" fillId="33" borderId="0" xfId="0" applyFont="1" applyFill="1" applyAlignment="1">
      <alignment/>
    </xf>
    <xf numFmtId="164" fontId="71" fillId="33" borderId="0" xfId="42" applyNumberFormat="1" applyFont="1" applyFill="1" applyAlignment="1">
      <alignment/>
    </xf>
    <xf numFmtId="169" fontId="1" fillId="33" borderId="15" xfId="0" applyNumberFormat="1" applyFont="1" applyFill="1" applyBorder="1" applyAlignment="1">
      <alignment/>
    </xf>
    <xf numFmtId="0" fontId="0" fillId="0" borderId="10" xfId="0" applyBorder="1" applyAlignment="1">
      <alignment horizontal="left" indent="1"/>
    </xf>
    <xf numFmtId="171" fontId="0" fillId="0" borderId="0" xfId="0" applyNumberFormat="1" applyBorder="1" applyAlignment="1">
      <alignment/>
    </xf>
    <xf numFmtId="0" fontId="73" fillId="0" borderId="0" xfId="0" applyFont="1" applyBorder="1" applyAlignment="1">
      <alignment/>
    </xf>
    <xf numFmtId="171" fontId="0" fillId="0" borderId="11" xfId="0" applyNumberFormat="1" applyBorder="1" applyAlignment="1">
      <alignment/>
    </xf>
    <xf numFmtId="171" fontId="0" fillId="0" borderId="12" xfId="0" applyNumberFormat="1" applyBorder="1" applyAlignment="1">
      <alignment/>
    </xf>
    <xf numFmtId="171" fontId="0" fillId="0" borderId="0" xfId="0" applyNumberFormat="1" applyFont="1" applyAlignment="1">
      <alignment/>
    </xf>
    <xf numFmtId="0" fontId="73" fillId="0" borderId="0" xfId="0" applyFont="1" applyAlignment="1">
      <alignment horizontal="left" indent="1"/>
    </xf>
    <xf numFmtId="0" fontId="73" fillId="0" borderId="0" xfId="0" applyFont="1" applyAlignment="1">
      <alignment horizontal="left"/>
    </xf>
    <xf numFmtId="171" fontId="0" fillId="0" borderId="11" xfId="0" applyNumberFormat="1" applyFont="1" applyBorder="1" applyAlignment="1">
      <alignment/>
    </xf>
    <xf numFmtId="171" fontId="0" fillId="0" borderId="0" xfId="0" applyNumberFormat="1" applyFill="1" applyBorder="1" applyAlignment="1">
      <alignment/>
    </xf>
    <xf numFmtId="171" fontId="54" fillId="0" borderId="0" xfId="57" applyNumberFormat="1">
      <alignment/>
      <protection/>
    </xf>
    <xf numFmtId="171" fontId="54" fillId="0" borderId="0" xfId="57" applyNumberFormat="1" applyBorder="1">
      <alignment/>
      <protection/>
    </xf>
    <xf numFmtId="4" fontId="0" fillId="0" borderId="0" xfId="0" applyNumberFormat="1" applyFill="1" applyAlignment="1">
      <alignment/>
    </xf>
    <xf numFmtId="171" fontId="0" fillId="0" borderId="0" xfId="0" applyNumberFormat="1" applyFill="1" applyAlignment="1">
      <alignment/>
    </xf>
    <xf numFmtId="0" fontId="73" fillId="0" borderId="0" xfId="0" applyFont="1" applyFill="1" applyAlignment="1">
      <alignment/>
    </xf>
    <xf numFmtId="171" fontId="0" fillId="0" borderId="0" xfId="0" applyNumberFormat="1" applyFont="1" applyFill="1" applyAlignment="1">
      <alignment/>
    </xf>
    <xf numFmtId="0" fontId="0" fillId="0" borderId="11" xfId="0" applyFill="1" applyBorder="1" applyAlignment="1">
      <alignment/>
    </xf>
    <xf numFmtId="171" fontId="0" fillId="0" borderId="0" xfId="0" applyNumberFormat="1" applyFont="1" applyFill="1" applyBorder="1" applyAlignment="1">
      <alignment/>
    </xf>
    <xf numFmtId="0" fontId="73" fillId="0" borderId="0" xfId="0" applyFont="1" applyFill="1" applyBorder="1" applyAlignment="1">
      <alignment/>
    </xf>
    <xf numFmtId="166" fontId="0" fillId="0" borderId="0" xfId="42" applyNumberFormat="1" applyFont="1" applyFill="1" applyAlignment="1">
      <alignment/>
    </xf>
    <xf numFmtId="198" fontId="0" fillId="0" borderId="0" xfId="0" applyNumberFormat="1" applyFill="1" applyBorder="1" applyAlignment="1">
      <alignment/>
    </xf>
    <xf numFmtId="198" fontId="0" fillId="0" borderId="11" xfId="0" applyNumberFormat="1" applyFill="1" applyBorder="1" applyAlignment="1">
      <alignment/>
    </xf>
    <xf numFmtId="164" fontId="0" fillId="0" borderId="11" xfId="42" applyNumberFormat="1" applyFont="1" applyFill="1" applyBorder="1" applyAlignment="1">
      <alignment/>
    </xf>
    <xf numFmtId="0" fontId="73" fillId="0" borderId="11" xfId="0" applyFont="1" applyFill="1" applyBorder="1" applyAlignment="1">
      <alignment/>
    </xf>
    <xf numFmtId="166" fontId="0" fillId="0" borderId="0" xfId="0" applyNumberFormat="1" applyFill="1" applyBorder="1" applyAlignment="1">
      <alignment/>
    </xf>
    <xf numFmtId="164" fontId="0" fillId="33" borderId="0" xfId="42" applyNumberFormat="1" applyFont="1" applyFill="1" applyAlignment="1">
      <alignment/>
    </xf>
    <xf numFmtId="0" fontId="0" fillId="0" borderId="25" xfId="0" applyFont="1" applyBorder="1" applyAlignment="1">
      <alignment horizontal="center"/>
    </xf>
    <xf numFmtId="169" fontId="0" fillId="0" borderId="0" xfId="0" applyNumberFormat="1" applyBorder="1" applyAlignment="1">
      <alignment/>
    </xf>
    <xf numFmtId="0" fontId="0" fillId="0" borderId="14" xfId="0" applyBorder="1" applyAlignment="1">
      <alignment/>
    </xf>
    <xf numFmtId="164" fontId="0" fillId="0" borderId="14" xfId="42" applyNumberFormat="1" applyFont="1" applyFill="1" applyBorder="1" applyAlignment="1">
      <alignment/>
    </xf>
    <xf numFmtId="0" fontId="0" fillId="0" borderId="24" xfId="0" applyFont="1" applyBorder="1" applyAlignment="1">
      <alignment horizontal="center"/>
    </xf>
    <xf numFmtId="0" fontId="0" fillId="0" borderId="12" xfId="0" applyFont="1" applyBorder="1" applyAlignment="1">
      <alignment/>
    </xf>
    <xf numFmtId="0" fontId="11" fillId="0" borderId="0" xfId="0" applyFont="1" applyAlignment="1">
      <alignment/>
    </xf>
    <xf numFmtId="0" fontId="0" fillId="0" borderId="0" xfId="0" applyFont="1" applyAlignment="1">
      <alignment/>
    </xf>
    <xf numFmtId="164" fontId="3" fillId="0" borderId="0" xfId="42" applyNumberFormat="1" applyFont="1" applyFill="1" applyBorder="1" applyAlignment="1">
      <alignment/>
    </xf>
    <xf numFmtId="164" fontId="0" fillId="0" borderId="0" xfId="42" applyNumberFormat="1" applyFont="1" applyAlignment="1">
      <alignment wrapText="1"/>
    </xf>
    <xf numFmtId="164" fontId="0" fillId="0" borderId="0" xfId="42" applyNumberFormat="1" applyFont="1" applyAlignment="1">
      <alignment vertical="top" wrapText="1"/>
    </xf>
    <xf numFmtId="164" fontId="0" fillId="0" borderId="0" xfId="0" applyNumberFormat="1" applyAlignment="1">
      <alignment/>
    </xf>
    <xf numFmtId="164" fontId="0" fillId="0" borderId="0" xfId="0" applyNumberFormat="1" applyFill="1" applyBorder="1" applyAlignment="1">
      <alignment/>
    </xf>
    <xf numFmtId="0" fontId="0" fillId="0" borderId="0" xfId="0" applyFill="1" applyBorder="1" applyAlignment="1">
      <alignment wrapText="1"/>
    </xf>
    <xf numFmtId="0" fontId="0" fillId="33" borderId="0" xfId="0" applyFill="1" applyAlignment="1">
      <alignment/>
    </xf>
    <xf numFmtId="0" fontId="0" fillId="0" borderId="0" xfId="0" applyFont="1" applyBorder="1" applyAlignment="1">
      <alignment/>
    </xf>
    <xf numFmtId="0" fontId="0" fillId="0" borderId="0" xfId="0" applyFont="1" applyFill="1" applyBorder="1" applyAlignment="1">
      <alignment/>
    </xf>
    <xf numFmtId="170" fontId="0" fillId="0" borderId="0" xfId="0" applyNumberFormat="1" applyBorder="1" applyAlignment="1">
      <alignment/>
    </xf>
    <xf numFmtId="0" fontId="0" fillId="33" borderId="0" xfId="0" applyFont="1" applyFill="1" applyBorder="1" applyAlignment="1">
      <alignment/>
    </xf>
    <xf numFmtId="43" fontId="0" fillId="0" borderId="0" xfId="0" applyNumberFormat="1" applyFill="1" applyBorder="1" applyAlignment="1">
      <alignment/>
    </xf>
    <xf numFmtId="2" fontId="0" fillId="0" borderId="0" xfId="0" applyNumberFormat="1" applyBorder="1" applyAlignment="1">
      <alignment/>
    </xf>
    <xf numFmtId="0" fontId="0" fillId="33" borderId="0" xfId="0" applyFill="1" applyBorder="1" applyAlignment="1">
      <alignment/>
    </xf>
    <xf numFmtId="2" fontId="0" fillId="33" borderId="0" xfId="0" applyNumberFormat="1" applyFill="1" applyBorder="1" applyAlignment="1">
      <alignment/>
    </xf>
    <xf numFmtId="43" fontId="0" fillId="0" borderId="0" xfId="42" applyFont="1" applyFill="1" applyBorder="1" applyAlignment="1">
      <alignment/>
    </xf>
    <xf numFmtId="2" fontId="0" fillId="0" borderId="0" xfId="0" applyNumberFormat="1" applyFill="1" applyBorder="1" applyAlignment="1">
      <alignment/>
    </xf>
    <xf numFmtId="43" fontId="3" fillId="0" borderId="0" xfId="42" applyFont="1" applyFill="1" applyBorder="1" applyAlignment="1">
      <alignment/>
    </xf>
    <xf numFmtId="164" fontId="0" fillId="0" borderId="0" xfId="42" applyNumberFormat="1" applyFont="1" applyAlignment="1">
      <alignment/>
    </xf>
    <xf numFmtId="0" fontId="0" fillId="0" borderId="0" xfId="0" applyFont="1" applyFill="1" applyAlignment="1">
      <alignment horizontal="left" vertical="top"/>
    </xf>
    <xf numFmtId="0" fontId="0" fillId="0" borderId="0" xfId="0" applyAlignment="1">
      <alignment vertical="top" wrapText="1"/>
    </xf>
    <xf numFmtId="0" fontId="0" fillId="0" borderId="0" xfId="0" applyAlignment="1">
      <alignment horizontal="right" vertical="top" wrapText="1"/>
    </xf>
    <xf numFmtId="0" fontId="0" fillId="0" borderId="0" xfId="0" applyAlignment="1">
      <alignment vertical="top"/>
    </xf>
    <xf numFmtId="0" fontId="0" fillId="0" borderId="0" xfId="0" applyAlignment="1">
      <alignment horizontal="right" wrapText="1"/>
    </xf>
    <xf numFmtId="0" fontId="0" fillId="33" borderId="0" xfId="0" applyFill="1" applyAlignment="1">
      <alignment wrapText="1"/>
    </xf>
    <xf numFmtId="170" fontId="0" fillId="0" borderId="0" xfId="0" applyNumberFormat="1" applyAlignment="1">
      <alignment vertical="top" wrapText="1"/>
    </xf>
    <xf numFmtId="1" fontId="0" fillId="33" borderId="0" xfId="0" applyNumberFormat="1" applyFill="1" applyAlignment="1">
      <alignment wrapText="1"/>
    </xf>
    <xf numFmtId="2" fontId="0" fillId="0" borderId="0" xfId="0" applyNumberFormat="1" applyAlignment="1">
      <alignment wrapText="1"/>
    </xf>
    <xf numFmtId="164" fontId="0" fillId="0" borderId="0" xfId="0" applyNumberFormat="1" applyAlignment="1">
      <alignment wrapText="1"/>
    </xf>
    <xf numFmtId="164" fontId="0" fillId="0" borderId="0" xfId="0" applyNumberFormat="1" applyFont="1" applyAlignment="1">
      <alignment wrapText="1"/>
    </xf>
    <xf numFmtId="2" fontId="0" fillId="0" borderId="0" xfId="0" applyNumberFormat="1" applyAlignment="1">
      <alignment vertical="top" wrapText="1"/>
    </xf>
    <xf numFmtId="0" fontId="71" fillId="0" borderId="0" xfId="0" applyFont="1" applyAlignment="1">
      <alignment/>
    </xf>
    <xf numFmtId="0" fontId="0" fillId="0" borderId="0" xfId="0" applyBorder="1" applyAlignment="1">
      <alignment wrapText="1"/>
    </xf>
    <xf numFmtId="164" fontId="0" fillId="0" borderId="0" xfId="42" applyNumberFormat="1" applyFont="1" applyBorder="1" applyAlignment="1">
      <alignment/>
    </xf>
    <xf numFmtId="0" fontId="0" fillId="0" borderId="0" xfId="0" applyFill="1" applyBorder="1" applyAlignment="1">
      <alignment/>
    </xf>
    <xf numFmtId="164" fontId="0" fillId="0" borderId="0" xfId="42" applyNumberFormat="1" applyFont="1" applyFill="1" applyBorder="1" applyAlignment="1">
      <alignment wrapText="1"/>
    </xf>
    <xf numFmtId="49" fontId="0" fillId="0" borderId="0" xfId="0" applyNumberFormat="1" applyBorder="1" applyAlignment="1">
      <alignment/>
    </xf>
    <xf numFmtId="0" fontId="71" fillId="0" borderId="0" xfId="0" applyFont="1" applyFill="1" applyBorder="1" applyAlignment="1">
      <alignment/>
    </xf>
    <xf numFmtId="164" fontId="0" fillId="0" borderId="0" xfId="0" applyNumberFormat="1" applyFill="1" applyBorder="1" applyAlignment="1">
      <alignment/>
    </xf>
    <xf numFmtId="164" fontId="0" fillId="0" borderId="0" xfId="42" applyNumberFormat="1" applyFont="1" applyFill="1" applyBorder="1" applyAlignment="1">
      <alignment/>
    </xf>
    <xf numFmtId="164" fontId="0" fillId="0" borderId="0" xfId="0" applyNumberFormat="1" applyBorder="1" applyAlignment="1">
      <alignment/>
    </xf>
    <xf numFmtId="1" fontId="0" fillId="0" borderId="0" xfId="0" applyNumberFormat="1" applyBorder="1" applyAlignment="1">
      <alignment/>
    </xf>
    <xf numFmtId="164" fontId="78" fillId="0" borderId="0" xfId="42" applyNumberFormat="1" applyFont="1" applyFill="1" applyAlignment="1">
      <alignment/>
    </xf>
    <xf numFmtId="3" fontId="0" fillId="0" borderId="11" xfId="0" applyNumberFormat="1" applyFill="1" applyBorder="1" applyAlignment="1">
      <alignment/>
    </xf>
    <xf numFmtId="0" fontId="0" fillId="0" borderId="12" xfId="0" applyFont="1" applyFill="1" applyBorder="1" applyAlignment="1">
      <alignment/>
    </xf>
    <xf numFmtId="0" fontId="0" fillId="0" borderId="24" xfId="0" applyFont="1" applyBorder="1" applyAlignment="1">
      <alignment/>
    </xf>
    <xf numFmtId="0" fontId="0" fillId="0" borderId="24" xfId="0" applyFont="1" applyFill="1" applyBorder="1" applyAlignment="1">
      <alignment horizontal="center"/>
    </xf>
    <xf numFmtId="0" fontId="0" fillId="0" borderId="26" xfId="0" applyFont="1" applyBorder="1" applyAlignment="1">
      <alignment/>
    </xf>
    <xf numFmtId="0" fontId="0" fillId="0" borderId="27" xfId="0" applyFont="1" applyBorder="1" applyAlignment="1">
      <alignment horizontal="center"/>
    </xf>
    <xf numFmtId="3" fontId="0" fillId="0" borderId="28" xfId="0" applyNumberFormat="1" applyFont="1" applyFill="1" applyBorder="1" applyAlignment="1">
      <alignment/>
    </xf>
    <xf numFmtId="9" fontId="0" fillId="0" borderId="0" xfId="60" applyFont="1" applyBorder="1" applyAlignment="1">
      <alignment/>
    </xf>
    <xf numFmtId="43" fontId="0" fillId="0" borderId="0" xfId="42" applyNumberFormat="1" applyFont="1" applyAlignment="1">
      <alignment/>
    </xf>
    <xf numFmtId="9" fontId="0" fillId="0" borderId="0" xfId="60" applyFont="1" applyFill="1" applyBorder="1" applyAlignment="1">
      <alignment/>
    </xf>
    <xf numFmtId="43" fontId="0" fillId="0" borderId="0" xfId="42" applyNumberFormat="1" applyFont="1" applyFill="1" applyAlignment="1">
      <alignment/>
    </xf>
    <xf numFmtId="164" fontId="0" fillId="0" borderId="13" xfId="42" applyNumberFormat="1" applyFont="1" applyBorder="1" applyAlignment="1">
      <alignment/>
    </xf>
    <xf numFmtId="43" fontId="0" fillId="0" borderId="0" xfId="0" applyNumberFormat="1" applyFont="1" applyAlignment="1">
      <alignment/>
    </xf>
    <xf numFmtId="2" fontId="0" fillId="0" borderId="0" xfId="0" applyNumberFormat="1" applyFont="1" applyAlignment="1">
      <alignment/>
    </xf>
    <xf numFmtId="0" fontId="0" fillId="0" borderId="27" xfId="0" applyFont="1" applyBorder="1" applyAlignment="1">
      <alignment/>
    </xf>
    <xf numFmtId="164" fontId="0" fillId="0" borderId="14" xfId="0" applyNumberFormat="1" applyFont="1" applyBorder="1" applyAlignment="1">
      <alignment/>
    </xf>
    <xf numFmtId="164" fontId="0" fillId="0" borderId="28" xfId="0" applyNumberFormat="1" applyFont="1" applyBorder="1" applyAlignment="1">
      <alignment/>
    </xf>
    <xf numFmtId="1" fontId="0" fillId="0" borderId="0" xfId="0" applyNumberFormat="1" applyFont="1" applyAlignment="1">
      <alignment/>
    </xf>
    <xf numFmtId="9" fontId="0" fillId="0" borderId="0" xfId="60" applyNumberFormat="1" applyFont="1" applyAlignment="1">
      <alignment/>
    </xf>
    <xf numFmtId="9" fontId="0" fillId="0" borderId="0" xfId="60" applyFont="1" applyAlignment="1">
      <alignment/>
    </xf>
    <xf numFmtId="164" fontId="0" fillId="0" borderId="0" xfId="0" applyNumberFormat="1" applyFont="1" applyFill="1" applyBorder="1" applyAlignment="1">
      <alignment/>
    </xf>
    <xf numFmtId="171" fontId="7" fillId="0" borderId="0" xfId="0" applyNumberFormat="1" applyFont="1" applyAlignment="1">
      <alignment horizontal="center"/>
    </xf>
    <xf numFmtId="171" fontId="0" fillId="0" borderId="12" xfId="0" applyNumberFormat="1" applyFill="1" applyBorder="1" applyAlignment="1">
      <alignment/>
    </xf>
    <xf numFmtId="1" fontId="0" fillId="0" borderId="0" xfId="0" applyNumberFormat="1" applyFont="1" applyFill="1" applyAlignment="1">
      <alignment/>
    </xf>
    <xf numFmtId="170" fontId="0" fillId="0" borderId="14" xfId="0" applyNumberFormat="1" applyFont="1" applyFill="1" applyBorder="1" applyAlignment="1">
      <alignment/>
    </xf>
    <xf numFmtId="0" fontId="2" fillId="0" borderId="0" xfId="0" applyFont="1" applyAlignment="1">
      <alignment wrapText="1"/>
    </xf>
    <xf numFmtId="170" fontId="0" fillId="0" borderId="0" xfId="0" applyNumberFormat="1" applyFont="1" applyFill="1" applyBorder="1" applyAlignment="1">
      <alignment/>
    </xf>
    <xf numFmtId="43" fontId="0" fillId="0" borderId="0" xfId="42" applyFont="1" applyAlignment="1">
      <alignment/>
    </xf>
    <xf numFmtId="0" fontId="0" fillId="0" borderId="0" xfId="0" applyFont="1" applyFill="1" applyBorder="1" applyAlignment="1">
      <alignment horizontal="left" wrapText="1"/>
    </xf>
    <xf numFmtId="0" fontId="0" fillId="0" borderId="25" xfId="0" applyFont="1" applyFill="1" applyBorder="1" applyAlignment="1">
      <alignment horizontal="center"/>
    </xf>
    <xf numFmtId="164" fontId="0" fillId="0" borderId="14" xfId="42" applyNumberFormat="1" applyFont="1" applyBorder="1" applyAlignment="1">
      <alignment horizontal="center"/>
    </xf>
    <xf numFmtId="170" fontId="0" fillId="0" borderId="0" xfId="0" applyNumberFormat="1" applyFill="1" applyAlignment="1">
      <alignment/>
    </xf>
    <xf numFmtId="0" fontId="0" fillId="0" borderId="12" xfId="0" applyFont="1" applyFill="1" applyBorder="1" applyAlignment="1">
      <alignment/>
    </xf>
    <xf numFmtId="170" fontId="1" fillId="0" borderId="29" xfId="0" applyNumberFormat="1" applyFont="1" applyBorder="1" applyAlignment="1">
      <alignment/>
    </xf>
    <xf numFmtId="170" fontId="0" fillId="0" borderId="0" xfId="0" applyNumberFormat="1" applyFont="1" applyFill="1" applyAlignment="1">
      <alignment/>
    </xf>
    <xf numFmtId="0" fontId="2" fillId="0" borderId="0" xfId="0" applyNumberFormat="1" applyFont="1" applyFill="1" applyAlignment="1" quotePrefix="1">
      <alignment horizontal="left"/>
    </xf>
    <xf numFmtId="0" fontId="0" fillId="0" borderId="0" xfId="0" applyNumberFormat="1" applyFont="1" applyFill="1" applyAlignment="1">
      <alignment horizontal="right"/>
    </xf>
    <xf numFmtId="170" fontId="0" fillId="0" borderId="0" xfId="0" applyNumberFormat="1" applyFont="1" applyFill="1" applyAlignment="1">
      <alignment horizontal="right"/>
    </xf>
    <xf numFmtId="0" fontId="0" fillId="0" borderId="11" xfId="0" applyFont="1" applyFill="1" applyBorder="1" applyAlignment="1">
      <alignment horizontal="center"/>
    </xf>
    <xf numFmtId="0" fontId="12" fillId="0" borderId="0" xfId="0" applyFont="1" applyFill="1" applyBorder="1" applyAlignment="1">
      <alignment horizontal="center"/>
    </xf>
    <xf numFmtId="170" fontId="0" fillId="0" borderId="0" xfId="0" applyNumberFormat="1" applyFont="1" applyFill="1" applyBorder="1" applyAlignment="1">
      <alignment horizontal="right"/>
    </xf>
    <xf numFmtId="0" fontId="12" fillId="0" borderId="11" xfId="0" applyFont="1" applyFill="1" applyBorder="1" applyAlignment="1">
      <alignment horizontal="center"/>
    </xf>
    <xf numFmtId="170" fontId="0" fillId="0" borderId="11" xfId="0" applyNumberFormat="1" applyFont="1" applyFill="1" applyBorder="1" applyAlignment="1">
      <alignment horizontal="right"/>
    </xf>
    <xf numFmtId="164" fontId="0" fillId="0" borderId="0" xfId="42" applyNumberFormat="1" applyFont="1" applyFill="1" applyBorder="1" applyAlignment="1">
      <alignment horizontal="right"/>
    </xf>
    <xf numFmtId="170" fontId="0" fillId="0" borderId="0" xfId="0" applyNumberFormat="1" applyFont="1" applyFill="1" applyBorder="1" applyAlignment="1">
      <alignment horizontal="left"/>
    </xf>
    <xf numFmtId="1"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0" fontId="0" fillId="0" borderId="0" xfId="0" applyFont="1" applyFill="1" applyAlignment="1" quotePrefix="1">
      <alignment/>
    </xf>
    <xf numFmtId="170" fontId="0" fillId="0" borderId="12" xfId="0" applyNumberFormat="1" applyFont="1" applyFill="1" applyBorder="1" applyAlignment="1">
      <alignment horizontal="right"/>
    </xf>
    <xf numFmtId="0" fontId="12" fillId="0" borderId="0" xfId="0" applyFont="1" applyFill="1" applyBorder="1" applyAlignment="1">
      <alignment horizontal="left"/>
    </xf>
    <xf numFmtId="164" fontId="0" fillId="0" borderId="12" xfId="42" applyNumberFormat="1" applyFont="1" applyFill="1" applyBorder="1" applyAlignment="1">
      <alignment/>
    </xf>
    <xf numFmtId="0" fontId="0" fillId="0" borderId="0" xfId="0" applyFont="1" applyFill="1" applyBorder="1" applyAlignment="1">
      <alignment/>
    </xf>
    <xf numFmtId="0" fontId="79" fillId="0" borderId="0" xfId="0" applyFont="1" applyAlignment="1">
      <alignment/>
    </xf>
    <xf numFmtId="0" fontId="79" fillId="0" borderId="0" xfId="0" applyFont="1" applyAlignment="1">
      <alignment horizontal="left"/>
    </xf>
    <xf numFmtId="9" fontId="79" fillId="0" borderId="0" xfId="0" applyNumberFormat="1" applyFont="1" applyAlignment="1">
      <alignment/>
    </xf>
    <xf numFmtId="0" fontId="0" fillId="0" borderId="0" xfId="0" applyFont="1" applyBorder="1" applyAlignment="1">
      <alignment wrapText="1"/>
    </xf>
    <xf numFmtId="164" fontId="79" fillId="0" borderId="0" xfId="0" applyNumberFormat="1" applyFont="1" applyAlignment="1">
      <alignment horizontal="left"/>
    </xf>
    <xf numFmtId="3" fontId="0" fillId="0" borderId="12" xfId="0" applyNumberFormat="1" applyFont="1" applyFill="1" applyBorder="1" applyAlignment="1">
      <alignment/>
    </xf>
    <xf numFmtId="0" fontId="0" fillId="0" borderId="24" xfId="0" applyFont="1" applyBorder="1" applyAlignment="1">
      <alignment wrapText="1"/>
    </xf>
    <xf numFmtId="0" fontId="0" fillId="0" borderId="24" xfId="0" applyFont="1" applyBorder="1" applyAlignment="1">
      <alignment horizontal="center" wrapText="1"/>
    </xf>
    <xf numFmtId="1" fontId="0" fillId="0" borderId="0" xfId="0" applyNumberFormat="1" applyFill="1" applyBorder="1" applyAlignment="1">
      <alignment/>
    </xf>
    <xf numFmtId="0" fontId="0" fillId="0" borderId="0" xfId="0" applyFont="1" applyFill="1" applyBorder="1" applyAlignment="1">
      <alignment wrapText="1"/>
    </xf>
    <xf numFmtId="9" fontId="0" fillId="0" borderId="24" xfId="0" applyNumberFormat="1" applyFont="1" applyBorder="1" applyAlignment="1">
      <alignment horizontal="center"/>
    </xf>
    <xf numFmtId="2" fontId="0" fillId="0" borderId="0" xfId="0" applyNumberFormat="1" applyFont="1" applyFill="1" applyAlignment="1">
      <alignment/>
    </xf>
    <xf numFmtId="43" fontId="79" fillId="0" borderId="0" xfId="42" applyFont="1" applyAlignment="1">
      <alignment/>
    </xf>
    <xf numFmtId="0" fontId="0" fillId="0" borderId="25" xfId="0" applyFont="1" applyBorder="1" applyAlignment="1">
      <alignment wrapText="1"/>
    </xf>
    <xf numFmtId="2" fontId="79" fillId="0" borderId="0" xfId="0" applyNumberFormat="1" applyFont="1" applyBorder="1" applyAlignment="1">
      <alignment/>
    </xf>
    <xf numFmtId="0" fontId="79" fillId="0" borderId="0" xfId="0" applyFont="1" applyBorder="1" applyAlignment="1">
      <alignment/>
    </xf>
    <xf numFmtId="9" fontId="79" fillId="0" borderId="0" xfId="60" applyFont="1" applyAlignment="1">
      <alignment/>
    </xf>
    <xf numFmtId="9" fontId="0" fillId="0" borderId="0" xfId="0" applyNumberFormat="1" applyFill="1" applyAlignment="1">
      <alignment/>
    </xf>
    <xf numFmtId="0" fontId="2" fillId="0" borderId="0" xfId="0" applyFont="1" applyBorder="1" applyAlignment="1">
      <alignment/>
    </xf>
    <xf numFmtId="43" fontId="0" fillId="0" borderId="0" xfId="42" applyFont="1" applyBorder="1" applyAlignment="1">
      <alignment/>
    </xf>
    <xf numFmtId="0" fontId="2" fillId="0" borderId="12" xfId="0" applyFont="1" applyBorder="1" applyAlignment="1">
      <alignment/>
    </xf>
    <xf numFmtId="0" fontId="0" fillId="0" borderId="24" xfId="0" applyFont="1" applyBorder="1" applyAlignment="1">
      <alignment horizontal="right"/>
    </xf>
    <xf numFmtId="2" fontId="2" fillId="0" borderId="0" xfId="0" applyNumberFormat="1" applyFont="1" applyFill="1" applyAlignment="1">
      <alignment/>
    </xf>
    <xf numFmtId="2" fontId="2" fillId="35" borderId="25" xfId="0" applyNumberFormat="1" applyFont="1" applyFill="1" applyBorder="1" applyAlignment="1">
      <alignment/>
    </xf>
    <xf numFmtId="2" fontId="78" fillId="0" borderId="0" xfId="0" applyNumberFormat="1" applyFont="1" applyFill="1" applyAlignment="1">
      <alignment/>
    </xf>
    <xf numFmtId="2" fontId="0" fillId="0" borderId="12" xfId="0" applyNumberFormat="1" applyFont="1" applyFill="1" applyBorder="1" applyAlignment="1">
      <alignment/>
    </xf>
    <xf numFmtId="2" fontId="2" fillId="36" borderId="25" xfId="0" applyNumberFormat="1" applyFont="1" applyFill="1" applyBorder="1" applyAlignment="1">
      <alignment/>
    </xf>
    <xf numFmtId="2" fontId="2" fillId="17" borderId="25" xfId="0" applyNumberFormat="1" applyFont="1" applyFill="1" applyBorder="1" applyAlignment="1">
      <alignment/>
    </xf>
    <xf numFmtId="2" fontId="2" fillId="37" borderId="25" xfId="0" applyNumberFormat="1" applyFont="1" applyFill="1" applyBorder="1" applyAlignment="1">
      <alignment/>
    </xf>
    <xf numFmtId="2" fontId="0" fillId="0" borderId="0" xfId="0" applyNumberFormat="1" applyFont="1" applyFill="1" applyBorder="1" applyAlignment="1">
      <alignment/>
    </xf>
    <xf numFmtId="2" fontId="0" fillId="0" borderId="14" xfId="0" applyNumberFormat="1" applyFont="1" applyFill="1" applyBorder="1" applyAlignment="1">
      <alignment/>
    </xf>
    <xf numFmtId="9" fontId="71" fillId="0" borderId="0" xfId="60" applyFont="1" applyAlignment="1">
      <alignment/>
    </xf>
    <xf numFmtId="9" fontId="0" fillId="0" borderId="0" xfId="60" applyFont="1" applyAlignment="1">
      <alignment horizontal="left" indent="1"/>
    </xf>
    <xf numFmtId="9" fontId="76" fillId="34" borderId="18" xfId="60" applyFont="1" applyFill="1" applyBorder="1" applyAlignment="1">
      <alignment/>
    </xf>
    <xf numFmtId="9" fontId="76" fillId="34" borderId="0" xfId="60" applyFont="1" applyFill="1" applyBorder="1" applyAlignment="1">
      <alignment/>
    </xf>
    <xf numFmtId="9" fontId="76" fillId="34" borderId="16" xfId="60" applyFont="1" applyFill="1" applyBorder="1" applyAlignment="1">
      <alignment/>
    </xf>
    <xf numFmtId="9" fontId="75" fillId="0" borderId="0" xfId="60" applyFont="1" applyBorder="1" applyAlignment="1">
      <alignment/>
    </xf>
    <xf numFmtId="9" fontId="0" fillId="0" borderId="16" xfId="60" applyFont="1" applyBorder="1" applyAlignment="1">
      <alignment/>
    </xf>
    <xf numFmtId="9" fontId="75" fillId="34" borderId="0" xfId="60" applyFont="1" applyFill="1" applyBorder="1" applyAlignment="1">
      <alignment/>
    </xf>
    <xf numFmtId="9" fontId="75" fillId="34" borderId="16" xfId="60" applyFont="1" applyFill="1" applyBorder="1" applyAlignment="1">
      <alignment/>
    </xf>
    <xf numFmtId="0" fontId="74" fillId="0" borderId="0" xfId="0" applyFont="1" applyAlignment="1">
      <alignment vertical="top" wrapText="1"/>
    </xf>
    <xf numFmtId="164" fontId="0" fillId="0" borderId="12" xfId="42" applyNumberFormat="1" applyFont="1" applyBorder="1" applyAlignment="1">
      <alignment/>
    </xf>
    <xf numFmtId="0" fontId="0" fillId="0" borderId="30" xfId="0" applyBorder="1" applyAlignment="1">
      <alignment/>
    </xf>
    <xf numFmtId="43" fontId="0" fillId="0" borderId="12" xfId="0" applyNumberFormat="1" applyBorder="1" applyAlignment="1">
      <alignment/>
    </xf>
    <xf numFmtId="43" fontId="0" fillId="0" borderId="14" xfId="42" applyNumberFormat="1" applyFont="1" applyBorder="1" applyAlignment="1">
      <alignment/>
    </xf>
    <xf numFmtId="0" fontId="0" fillId="0" borderId="24" xfId="0" applyFont="1" applyBorder="1" applyAlignment="1">
      <alignment horizontal="center" vertical="center"/>
    </xf>
    <xf numFmtId="166" fontId="0" fillId="0" borderId="0" xfId="42" applyNumberFormat="1" applyFont="1" applyAlignment="1">
      <alignment/>
    </xf>
    <xf numFmtId="0" fontId="12" fillId="0" borderId="0" xfId="0" applyFont="1" applyFill="1" applyBorder="1" applyAlignment="1">
      <alignment horizontal="left" indent="1"/>
    </xf>
    <xf numFmtId="3" fontId="14" fillId="0" borderId="0" xfId="0" applyNumberFormat="1" applyFont="1" applyFill="1" applyAlignment="1">
      <alignment vertical="top" wrapText="1"/>
    </xf>
    <xf numFmtId="0" fontId="0" fillId="0" borderId="24" xfId="0" applyFont="1" applyBorder="1" applyAlignment="1">
      <alignment horizontal="center" vertical="center" wrapText="1"/>
    </xf>
    <xf numFmtId="0" fontId="74" fillId="33" borderId="0" xfId="0" applyFont="1" applyFill="1" applyAlignment="1">
      <alignment vertical="center" wrapText="1"/>
    </xf>
    <xf numFmtId="37" fontId="0" fillId="0" borderId="0" xfId="0" applyNumberFormat="1" applyFill="1" applyBorder="1" applyAlignment="1">
      <alignment/>
    </xf>
    <xf numFmtId="164" fontId="0" fillId="0" borderId="0" xfId="42" applyNumberFormat="1" applyFont="1" applyAlignment="1">
      <alignment horizontal="right"/>
    </xf>
    <xf numFmtId="1" fontId="0" fillId="0" borderId="0" xfId="0" applyNumberFormat="1" applyFont="1" applyFill="1" applyBorder="1" applyAlignment="1">
      <alignment/>
    </xf>
    <xf numFmtId="170" fontId="78" fillId="0" borderId="31" xfId="0" applyNumberFormat="1" applyFont="1" applyFill="1" applyBorder="1" applyAlignment="1">
      <alignment/>
    </xf>
    <xf numFmtId="1" fontId="78" fillId="0" borderId="11" xfId="0" applyNumberFormat="1" applyFont="1" applyFill="1" applyBorder="1" applyAlignment="1">
      <alignment/>
    </xf>
    <xf numFmtId="43" fontId="0" fillId="0" borderId="0" xfId="42" applyFont="1" applyAlignment="1">
      <alignment/>
    </xf>
    <xf numFmtId="1" fontId="0" fillId="0" borderId="0" xfId="0" applyNumberFormat="1" applyFont="1" applyFill="1" applyBorder="1" applyAlignment="1">
      <alignment horizontal="center"/>
    </xf>
    <xf numFmtId="0" fontId="0" fillId="0" borderId="14" xfId="0" applyFont="1" applyBorder="1" applyAlignment="1">
      <alignment horizontal="center"/>
    </xf>
    <xf numFmtId="1" fontId="6" fillId="0" borderId="32" xfId="0" applyNumberFormat="1" applyFont="1" applyBorder="1" applyAlignment="1">
      <alignment horizontal="center"/>
    </xf>
    <xf numFmtId="1" fontId="0" fillId="0" borderId="14" xfId="0" applyNumberFormat="1" applyBorder="1" applyAlignment="1">
      <alignment horizontal="center"/>
    </xf>
    <xf numFmtId="164" fontId="0" fillId="0" borderId="14" xfId="42" applyNumberFormat="1" applyFont="1" applyBorder="1" applyAlignment="1">
      <alignment horizontal="center"/>
    </xf>
    <xf numFmtId="0" fontId="0" fillId="0" borderId="30" xfId="0" applyFont="1" applyBorder="1" applyAlignment="1">
      <alignment horizontal="center"/>
    </xf>
    <xf numFmtId="3" fontId="0" fillId="0" borderId="0" xfId="0" applyNumberFormat="1" applyFont="1" applyFill="1" applyAlignment="1">
      <alignment horizontal="left"/>
    </xf>
    <xf numFmtId="164" fontId="0" fillId="0" borderId="32" xfId="42" applyNumberFormat="1" applyFont="1" applyBorder="1" applyAlignment="1">
      <alignment/>
    </xf>
    <xf numFmtId="0" fontId="0" fillId="33" borderId="0" xfId="0" applyFont="1" applyFill="1" applyAlignment="1">
      <alignment/>
    </xf>
    <xf numFmtId="165" fontId="0" fillId="0" borderId="0" xfId="60" applyNumberFormat="1" applyFont="1" applyAlignment="1">
      <alignment/>
    </xf>
    <xf numFmtId="9" fontId="0" fillId="0" borderId="0" xfId="0" applyNumberFormat="1" applyFont="1" applyAlignment="1">
      <alignment horizontal="left"/>
    </xf>
    <xf numFmtId="9" fontId="0" fillId="0" borderId="0" xfId="0" applyNumberFormat="1" applyFont="1" applyAlignment="1">
      <alignment/>
    </xf>
    <xf numFmtId="0" fontId="0" fillId="0" borderId="14" xfId="0" applyFill="1" applyBorder="1" applyAlignment="1">
      <alignment/>
    </xf>
    <xf numFmtId="0" fontId="0" fillId="0" borderId="0" xfId="0" applyFill="1" applyAlignment="1">
      <alignment horizontal="right"/>
    </xf>
    <xf numFmtId="43" fontId="0" fillId="0" borderId="0" xfId="0" applyNumberFormat="1" applyFill="1" applyAlignment="1">
      <alignment horizontal="right"/>
    </xf>
    <xf numFmtId="171" fontId="0" fillId="0" borderId="0" xfId="0" applyNumberFormat="1" applyFill="1" applyAlignment="1">
      <alignment horizontal="right"/>
    </xf>
    <xf numFmtId="170" fontId="1" fillId="0" borderId="0" xfId="0" applyNumberFormat="1" applyFont="1" applyBorder="1" applyAlignment="1">
      <alignment/>
    </xf>
    <xf numFmtId="2" fontId="0" fillId="0" borderId="0" xfId="0" applyNumberFormat="1" applyFont="1" applyAlignment="1">
      <alignment horizontal="right"/>
    </xf>
    <xf numFmtId="43" fontId="0" fillId="0" borderId="0" xfId="0" applyNumberFormat="1" applyFont="1" applyAlignment="1">
      <alignment horizontal="right"/>
    </xf>
    <xf numFmtId="0" fontId="0" fillId="0" borderId="11" xfId="0" applyFont="1" applyFill="1" applyBorder="1" applyAlignment="1">
      <alignment/>
    </xf>
    <xf numFmtId="2" fontId="0" fillId="0" borderId="0" xfId="0" applyNumberFormat="1" applyFill="1" applyAlignment="1">
      <alignment/>
    </xf>
    <xf numFmtId="164" fontId="0" fillId="0" borderId="12" xfId="42" applyNumberFormat="1" applyFont="1" applyFill="1" applyBorder="1" applyAlignment="1">
      <alignment/>
    </xf>
    <xf numFmtId="164" fontId="0" fillId="0" borderId="11" xfId="42" applyNumberFormat="1" applyFont="1" applyFill="1" applyBorder="1" applyAlignment="1">
      <alignment/>
    </xf>
    <xf numFmtId="164" fontId="0" fillId="0" borderId="0" xfId="0" applyNumberFormat="1" applyFill="1" applyAlignment="1">
      <alignment/>
    </xf>
    <xf numFmtId="3" fontId="0" fillId="0" borderId="0" xfId="0" applyNumberFormat="1" applyFont="1" applyFill="1" applyBorder="1" applyAlignment="1">
      <alignment/>
    </xf>
    <xf numFmtId="164" fontId="0" fillId="0" borderId="32" xfId="42" applyNumberFormat="1" applyFont="1" applyFill="1" applyBorder="1" applyAlignment="1">
      <alignment/>
    </xf>
    <xf numFmtId="164" fontId="0" fillId="0" borderId="12" xfId="42" applyNumberFormat="1" applyFont="1" applyFill="1" applyBorder="1" applyAlignment="1">
      <alignment/>
    </xf>
    <xf numFmtId="0" fontId="1" fillId="0" borderId="0" xfId="0" applyFont="1" applyBorder="1" applyAlignment="1">
      <alignment horizontal="center" vertical="center" wrapText="1"/>
    </xf>
    <xf numFmtId="0" fontId="0" fillId="0" borderId="32" xfId="0" applyFont="1" applyBorder="1" applyAlignment="1">
      <alignment horizontal="center"/>
    </xf>
    <xf numFmtId="0" fontId="15" fillId="0" borderId="0" xfId="0" applyFont="1" applyAlignment="1">
      <alignment/>
    </xf>
    <xf numFmtId="43" fontId="0" fillId="35" borderId="13" xfId="0" applyNumberFormat="1" applyFill="1" applyBorder="1" applyAlignment="1">
      <alignment/>
    </xf>
    <xf numFmtId="0" fontId="0" fillId="35" borderId="13" xfId="0" applyFill="1" applyBorder="1" applyAlignment="1">
      <alignment/>
    </xf>
    <xf numFmtId="9" fontId="0" fillId="35" borderId="13" xfId="60" applyFont="1" applyFill="1" applyBorder="1" applyAlignment="1">
      <alignment/>
    </xf>
    <xf numFmtId="167" fontId="0" fillId="35" borderId="13" xfId="0" applyNumberFormat="1" applyFill="1" applyBorder="1" applyAlignment="1">
      <alignment/>
    </xf>
    <xf numFmtId="43" fontId="0" fillId="35" borderId="13" xfId="42" applyFont="1" applyFill="1" applyBorder="1" applyAlignment="1">
      <alignment/>
    </xf>
    <xf numFmtId="167" fontId="0" fillId="35" borderId="27" xfId="42" applyNumberFormat="1" applyFont="1" applyFill="1" applyBorder="1" applyAlignment="1">
      <alignment/>
    </xf>
    <xf numFmtId="167" fontId="0" fillId="0" borderId="0" xfId="0" applyNumberFormat="1" applyAlignment="1">
      <alignment/>
    </xf>
    <xf numFmtId="2" fontId="2" fillId="0" borderId="12" xfId="0" applyNumberFormat="1" applyFont="1" applyFill="1" applyBorder="1" applyAlignment="1">
      <alignment/>
    </xf>
    <xf numFmtId="43" fontId="0" fillId="0" borderId="12" xfId="42" applyFont="1" applyBorder="1" applyAlignment="1">
      <alignment/>
    </xf>
    <xf numFmtId="9" fontId="0" fillId="0" borderId="12" xfId="60" applyFont="1" applyBorder="1" applyAlignment="1">
      <alignment/>
    </xf>
    <xf numFmtId="2" fontId="2" fillId="38" borderId="25" xfId="0" applyNumberFormat="1" applyFont="1" applyFill="1" applyBorder="1" applyAlignment="1">
      <alignment/>
    </xf>
    <xf numFmtId="43" fontId="0" fillId="38" borderId="13" xfId="42" applyFont="1" applyFill="1" applyBorder="1" applyAlignment="1">
      <alignment/>
    </xf>
    <xf numFmtId="9" fontId="0" fillId="38" borderId="13" xfId="60" applyFont="1" applyFill="1" applyBorder="1" applyAlignment="1">
      <alignment/>
    </xf>
    <xf numFmtId="0" fontId="0" fillId="38" borderId="0" xfId="0" applyFill="1" applyAlignment="1">
      <alignment/>
    </xf>
    <xf numFmtId="167" fontId="0" fillId="38" borderId="27" xfId="42" applyNumberFormat="1" applyFont="1" applyFill="1" applyBorder="1" applyAlignment="1">
      <alignment/>
    </xf>
    <xf numFmtId="43" fontId="0" fillId="36" borderId="13" xfId="42" applyFont="1" applyFill="1" applyBorder="1" applyAlignment="1">
      <alignment/>
    </xf>
    <xf numFmtId="9" fontId="0" fillId="36" borderId="13" xfId="60" applyFont="1" applyFill="1" applyBorder="1" applyAlignment="1">
      <alignment/>
    </xf>
    <xf numFmtId="0" fontId="0" fillId="36" borderId="0" xfId="0" applyFill="1" applyAlignment="1">
      <alignment/>
    </xf>
    <xf numFmtId="167" fontId="0" fillId="36" borderId="27" xfId="42" applyNumberFormat="1" applyFont="1" applyFill="1" applyBorder="1" applyAlignment="1">
      <alignment/>
    </xf>
    <xf numFmtId="2" fontId="2" fillId="0" borderId="0" xfId="0" applyNumberFormat="1" applyFont="1" applyFill="1" applyBorder="1" applyAlignment="1">
      <alignment/>
    </xf>
    <xf numFmtId="43" fontId="0" fillId="17" borderId="13" xfId="42" applyFont="1" applyFill="1" applyBorder="1" applyAlignment="1">
      <alignment/>
    </xf>
    <xf numFmtId="9" fontId="0" fillId="17" borderId="13" xfId="60" applyFont="1" applyFill="1" applyBorder="1" applyAlignment="1">
      <alignment/>
    </xf>
    <xf numFmtId="167" fontId="0" fillId="17" borderId="27" xfId="42" applyNumberFormat="1" applyFont="1" applyFill="1" applyBorder="1" applyAlignment="1">
      <alignment/>
    </xf>
    <xf numFmtId="43" fontId="0" fillId="37" borderId="13" xfId="42" applyFont="1" applyFill="1" applyBorder="1" applyAlignment="1">
      <alignment/>
    </xf>
    <xf numFmtId="9" fontId="0" fillId="37" borderId="13" xfId="60" applyFont="1" applyFill="1" applyBorder="1" applyAlignment="1">
      <alignment/>
    </xf>
    <xf numFmtId="0" fontId="0" fillId="37" borderId="13" xfId="0" applyFill="1" applyBorder="1" applyAlignment="1">
      <alignment/>
    </xf>
    <xf numFmtId="167" fontId="0" fillId="37" borderId="27" xfId="42" applyNumberFormat="1" applyFont="1" applyFill="1" applyBorder="1" applyAlignment="1">
      <alignment/>
    </xf>
    <xf numFmtId="43" fontId="0" fillId="0" borderId="0" xfId="42" applyFont="1" applyFill="1" applyAlignment="1">
      <alignment/>
    </xf>
    <xf numFmtId="9" fontId="0" fillId="0" borderId="0" xfId="60" applyFont="1" applyFill="1" applyBorder="1" applyAlignment="1">
      <alignment/>
    </xf>
    <xf numFmtId="2" fontId="0" fillId="0" borderId="33" xfId="0" applyNumberFormat="1" applyFont="1" applyFill="1" applyBorder="1" applyAlignment="1">
      <alignment/>
    </xf>
    <xf numFmtId="43" fontId="0" fillId="0" borderId="34" xfId="42" applyFont="1" applyBorder="1" applyAlignment="1">
      <alignment/>
    </xf>
    <xf numFmtId="9" fontId="0" fillId="0" borderId="13" xfId="60" applyFont="1" applyFill="1" applyBorder="1" applyAlignment="1">
      <alignment/>
    </xf>
    <xf numFmtId="0" fontId="0" fillId="0" borderId="34" xfId="0" applyBorder="1" applyAlignment="1">
      <alignment/>
    </xf>
    <xf numFmtId="0" fontId="0" fillId="0" borderId="35" xfId="0" applyBorder="1" applyAlignment="1">
      <alignment/>
    </xf>
    <xf numFmtId="2" fontId="79" fillId="0" borderId="0" xfId="0" applyNumberFormat="1" applyFont="1" applyFill="1" applyAlignment="1">
      <alignment/>
    </xf>
    <xf numFmtId="170" fontId="79" fillId="0" borderId="0" xfId="0" applyNumberFormat="1" applyFont="1" applyBorder="1" applyAlignment="1">
      <alignment/>
    </xf>
    <xf numFmtId="2" fontId="79" fillId="0" borderId="0" xfId="0" applyNumberFormat="1" applyFont="1" applyBorder="1" applyAlignment="1">
      <alignment/>
    </xf>
    <xf numFmtId="1" fontId="1" fillId="0" borderId="0" xfId="0" applyNumberFormat="1" applyFont="1" applyBorder="1" applyAlignment="1">
      <alignment horizontal="center" vertical="center" wrapText="1"/>
    </xf>
    <xf numFmtId="167" fontId="0" fillId="0" borderId="0" xfId="42" applyNumberFormat="1" applyFont="1" applyFill="1" applyBorder="1" applyAlignment="1">
      <alignment/>
    </xf>
    <xf numFmtId="9" fontId="0" fillId="0" borderId="12" xfId="60" applyNumberFormat="1" applyFont="1" applyBorder="1" applyAlignment="1">
      <alignment/>
    </xf>
    <xf numFmtId="43" fontId="0" fillId="0" borderId="12" xfId="42" applyFont="1" applyFill="1" applyBorder="1" applyAlignment="1">
      <alignment/>
    </xf>
    <xf numFmtId="167" fontId="0" fillId="0" borderId="12" xfId="42" applyNumberFormat="1" applyFont="1" applyFill="1" applyBorder="1" applyAlignment="1">
      <alignment/>
    </xf>
    <xf numFmtId="0" fontId="0" fillId="0" borderId="12" xfId="42" applyNumberFormat="1" applyFont="1" applyFill="1" applyBorder="1" applyAlignment="1">
      <alignment/>
    </xf>
    <xf numFmtId="0" fontId="80" fillId="0" borderId="0" xfId="0" applyFont="1" applyAlignment="1">
      <alignment/>
    </xf>
    <xf numFmtId="0" fontId="79" fillId="0" borderId="12" xfId="0" applyFont="1" applyBorder="1" applyAlignment="1">
      <alignment/>
    </xf>
    <xf numFmtId="1" fontId="79" fillId="0" borderId="0" xfId="0" applyNumberFormat="1" applyFont="1" applyFill="1" applyBorder="1" applyAlignment="1">
      <alignment horizontal="left"/>
    </xf>
    <xf numFmtId="0" fontId="80" fillId="0" borderId="0" xfId="0" applyFont="1" applyBorder="1" applyAlignment="1">
      <alignment/>
    </xf>
    <xf numFmtId="0" fontId="0" fillId="0" borderId="32" xfId="0" applyFont="1" applyBorder="1" applyAlignment="1">
      <alignment horizontal="left" indent="1"/>
    </xf>
    <xf numFmtId="0" fontId="0" fillId="0" borderId="14" xfId="0" applyFont="1" applyBorder="1" applyAlignment="1">
      <alignment horizontal="left" indent="1"/>
    </xf>
    <xf numFmtId="0" fontId="0" fillId="0" borderId="30" xfId="0" applyBorder="1" applyAlignment="1">
      <alignment horizontal="center"/>
    </xf>
    <xf numFmtId="0" fontId="0" fillId="0" borderId="24" xfId="0" applyBorder="1" applyAlignment="1">
      <alignment horizontal="center" vertical="center" wrapText="1"/>
    </xf>
    <xf numFmtId="0" fontId="0" fillId="0" borderId="25" xfId="0" applyFont="1" applyBorder="1" applyAlignment="1">
      <alignment horizontal="center" vertical="center" wrapText="1"/>
    </xf>
    <xf numFmtId="165" fontId="0" fillId="0" borderId="0" xfId="60" applyNumberFormat="1" applyFont="1" applyBorder="1" applyAlignment="1">
      <alignment/>
    </xf>
    <xf numFmtId="0" fontId="79" fillId="0" borderId="0" xfId="0" applyFont="1" applyAlignment="1">
      <alignment wrapText="1"/>
    </xf>
    <xf numFmtId="43" fontId="0" fillId="0" borderId="32" xfId="42" applyFont="1" applyBorder="1" applyAlignment="1">
      <alignment horizontal="left" vertical="center"/>
    </xf>
    <xf numFmtId="9" fontId="0" fillId="0" borderId="12" xfId="60" applyFont="1" applyBorder="1" applyAlignment="1">
      <alignment horizontal="center" vertical="center"/>
    </xf>
    <xf numFmtId="164" fontId="0" fillId="0" borderId="12" xfId="42" applyNumberFormat="1" applyFont="1" applyBorder="1" applyAlignment="1">
      <alignment vertical="center"/>
    </xf>
    <xf numFmtId="1" fontId="0" fillId="0" borderId="26" xfId="0" applyNumberFormat="1" applyBorder="1" applyAlignment="1">
      <alignment vertical="center"/>
    </xf>
    <xf numFmtId="43" fontId="0" fillId="0" borderId="14" xfId="42" applyFont="1" applyBorder="1" applyAlignment="1">
      <alignment horizontal="left" vertical="center"/>
    </xf>
    <xf numFmtId="9" fontId="0" fillId="0" borderId="0" xfId="60" applyFont="1" applyBorder="1" applyAlignment="1">
      <alignment horizontal="center" vertical="center"/>
    </xf>
    <xf numFmtId="164" fontId="0" fillId="0" borderId="0" xfId="42" applyNumberFormat="1" applyFont="1" applyBorder="1" applyAlignment="1">
      <alignment vertical="center"/>
    </xf>
    <xf numFmtId="1" fontId="0" fillId="0" borderId="28" xfId="0" applyNumberFormat="1" applyBorder="1" applyAlignment="1">
      <alignment vertical="center"/>
    </xf>
    <xf numFmtId="164" fontId="2" fillId="0" borderId="12" xfId="0" applyNumberFormat="1" applyFont="1" applyFill="1" applyBorder="1" applyAlignment="1">
      <alignment vertical="center"/>
    </xf>
    <xf numFmtId="43" fontId="0" fillId="0" borderId="0" xfId="42" applyFont="1" applyBorder="1" applyAlignment="1">
      <alignment/>
    </xf>
    <xf numFmtId="164" fontId="0" fillId="0" borderId="0" xfId="42" applyNumberFormat="1" applyFont="1" applyAlignment="1">
      <alignment horizontal="center"/>
    </xf>
    <xf numFmtId="164" fontId="0" fillId="0" borderId="11" xfId="42" applyNumberFormat="1" applyFont="1" applyBorder="1" applyAlignment="1">
      <alignment horizont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9" fontId="0" fillId="0" borderId="0" xfId="60" applyFont="1" applyFill="1" applyBorder="1" applyAlignment="1">
      <alignment horizontal="center"/>
    </xf>
    <xf numFmtId="0" fontId="2" fillId="0" borderId="25" xfId="0" applyFont="1" applyBorder="1" applyAlignment="1">
      <alignment/>
    </xf>
    <xf numFmtId="166" fontId="0" fillId="0" borderId="13" xfId="42" applyNumberFormat="1" applyFont="1" applyBorder="1" applyAlignment="1">
      <alignment/>
    </xf>
    <xf numFmtId="9" fontId="0" fillId="0" borderId="13" xfId="60" applyFont="1" applyBorder="1" applyAlignment="1">
      <alignment/>
    </xf>
    <xf numFmtId="165" fontId="0" fillId="0" borderId="27" xfId="60" applyNumberFormat="1" applyFont="1" applyBorder="1" applyAlignment="1">
      <alignment/>
    </xf>
    <xf numFmtId="166" fontId="0" fillId="0" borderId="0" xfId="42" applyNumberFormat="1" applyFont="1" applyBorder="1" applyAlignment="1">
      <alignment/>
    </xf>
    <xf numFmtId="0" fontId="0" fillId="0" borderId="0" xfId="0" applyFont="1" applyAlignment="1">
      <alignment horizontal="left" indent="2"/>
    </xf>
    <xf numFmtId="9" fontId="0" fillId="0" borderId="0" xfId="0" applyNumberFormat="1" applyFont="1" applyAlignment="1">
      <alignment horizontal="left" indent="2"/>
    </xf>
    <xf numFmtId="9" fontId="0" fillId="0" borderId="0" xfId="60" applyFont="1" applyFill="1" applyAlignment="1">
      <alignment/>
    </xf>
    <xf numFmtId="166" fontId="0" fillId="0" borderId="0" xfId="42" applyNumberFormat="1" applyFont="1" applyFill="1" applyBorder="1" applyAlignment="1">
      <alignment/>
    </xf>
    <xf numFmtId="0" fontId="2" fillId="0" borderId="33" xfId="0" applyFont="1" applyBorder="1" applyAlignment="1">
      <alignment/>
    </xf>
    <xf numFmtId="166" fontId="2" fillId="0" borderId="34" xfId="42" applyNumberFormat="1" applyFont="1" applyBorder="1" applyAlignment="1">
      <alignment/>
    </xf>
    <xf numFmtId="9" fontId="2" fillId="0" borderId="34" xfId="60" applyFont="1" applyBorder="1" applyAlignment="1">
      <alignment/>
    </xf>
    <xf numFmtId="166" fontId="2" fillId="0" borderId="35" xfId="42" applyNumberFormat="1" applyFont="1" applyBorder="1" applyAlignment="1">
      <alignment/>
    </xf>
    <xf numFmtId="170"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43" fontId="0" fillId="0" borderId="0" xfId="42" applyFont="1" applyFill="1" applyBorder="1" applyAlignment="1">
      <alignment horizontal="center" vertical="center" wrapText="1"/>
    </xf>
    <xf numFmtId="9" fontId="0" fillId="0" borderId="0" xfId="60" applyFont="1" applyFill="1" applyBorder="1" applyAlignment="1">
      <alignment horizontal="center" vertical="center" wrapText="1"/>
    </xf>
    <xf numFmtId="0" fontId="0" fillId="0" borderId="0" xfId="0" applyFont="1" applyAlignment="1" quotePrefix="1">
      <alignment/>
    </xf>
    <xf numFmtId="43" fontId="0" fillId="0" borderId="12" xfId="42" applyFont="1" applyFill="1" applyBorder="1" applyAlignment="1">
      <alignment/>
    </xf>
    <xf numFmtId="9" fontId="0" fillId="0" borderId="12" xfId="60" applyFont="1" applyFill="1" applyBorder="1" applyAlignment="1">
      <alignment/>
    </xf>
    <xf numFmtId="166" fontId="0" fillId="0" borderId="12" xfId="42" applyNumberFormat="1" applyFont="1" applyFill="1" applyBorder="1" applyAlignment="1">
      <alignment/>
    </xf>
    <xf numFmtId="43" fontId="0" fillId="0" borderId="0" xfId="42" applyFont="1" applyFill="1" applyAlignment="1">
      <alignment/>
    </xf>
    <xf numFmtId="0" fontId="0" fillId="0" borderId="33" xfId="0" applyFont="1" applyFill="1" applyBorder="1" applyAlignment="1">
      <alignment/>
    </xf>
    <xf numFmtId="43" fontId="0" fillId="0" borderId="34" xfId="42" applyFont="1" applyFill="1" applyBorder="1" applyAlignment="1">
      <alignment/>
    </xf>
    <xf numFmtId="9" fontId="0" fillId="0" borderId="34" xfId="60" applyFont="1" applyFill="1" applyBorder="1" applyAlignment="1">
      <alignment/>
    </xf>
    <xf numFmtId="43" fontId="0" fillId="0" borderId="35" xfId="42" applyFont="1" applyFill="1" applyBorder="1" applyAlignment="1">
      <alignment/>
    </xf>
    <xf numFmtId="0" fontId="0" fillId="0" borderId="34" xfId="0" applyFont="1" applyFill="1" applyBorder="1" applyAlignment="1">
      <alignment/>
    </xf>
    <xf numFmtId="166" fontId="0" fillId="0" borderId="0" xfId="42" applyNumberFormat="1" applyFont="1" applyFill="1" applyAlignment="1">
      <alignment vertical="center"/>
    </xf>
    <xf numFmtId="43" fontId="0" fillId="0" borderId="0" xfId="42" applyFont="1" applyFill="1" applyAlignment="1">
      <alignment vertical="center"/>
    </xf>
    <xf numFmtId="9" fontId="0" fillId="0" borderId="0" xfId="60" applyFont="1" applyFill="1" applyAlignment="1">
      <alignment vertical="center"/>
    </xf>
    <xf numFmtId="164" fontId="0" fillId="0" borderId="0" xfId="42" applyNumberFormat="1" applyFont="1" applyFill="1" applyAlignment="1">
      <alignment vertical="center"/>
    </xf>
    <xf numFmtId="166" fontId="0" fillId="0" borderId="34" xfId="42" applyNumberFormat="1" applyFont="1" applyFill="1" applyBorder="1" applyAlignment="1">
      <alignment/>
    </xf>
    <xf numFmtId="164" fontId="0" fillId="0" borderId="34" xfId="42" applyNumberFormat="1" applyFont="1" applyFill="1" applyBorder="1" applyAlignment="1">
      <alignment/>
    </xf>
    <xf numFmtId="166" fontId="0" fillId="0" borderId="35" xfId="42" applyNumberFormat="1" applyFont="1" applyFill="1" applyBorder="1" applyAlignment="1">
      <alignment/>
    </xf>
    <xf numFmtId="164" fontId="0" fillId="0" borderId="30" xfId="42" applyNumberFormat="1" applyFont="1" applyBorder="1" applyAlignment="1">
      <alignment/>
    </xf>
    <xf numFmtId="164" fontId="0" fillId="0" borderId="26" xfId="0" applyNumberFormat="1" applyFont="1" applyBorder="1" applyAlignment="1">
      <alignment/>
    </xf>
    <xf numFmtId="164" fontId="0" fillId="0" borderId="36" xfId="42" applyNumberFormat="1" applyFont="1" applyBorder="1" applyAlignment="1">
      <alignment/>
    </xf>
    <xf numFmtId="43" fontId="0" fillId="0" borderId="32" xfId="42" applyNumberFormat="1" applyFont="1" applyBorder="1" applyAlignment="1">
      <alignment/>
    </xf>
    <xf numFmtId="43" fontId="0" fillId="0" borderId="12" xfId="42" applyNumberFormat="1" applyFont="1" applyBorder="1" applyAlignment="1">
      <alignment/>
    </xf>
    <xf numFmtId="164" fontId="0" fillId="0" borderId="12" xfId="0" applyNumberFormat="1" applyFont="1" applyBorder="1" applyAlignment="1">
      <alignment/>
    </xf>
    <xf numFmtId="0" fontId="0" fillId="0" borderId="11" xfId="0" applyFont="1" applyFill="1" applyBorder="1" applyAlignment="1">
      <alignment wrapText="1"/>
    </xf>
    <xf numFmtId="10" fontId="0" fillId="0" borderId="0" xfId="60" applyNumberFormat="1" applyFont="1" applyAlignment="1">
      <alignment/>
    </xf>
    <xf numFmtId="0" fontId="0" fillId="0" borderId="28" xfId="0" applyFont="1" applyBorder="1" applyAlignment="1">
      <alignment horizontal="center"/>
    </xf>
    <xf numFmtId="2" fontId="0" fillId="0" borderId="14" xfId="0" applyNumberFormat="1" applyFont="1" applyFill="1" applyBorder="1" applyAlignment="1">
      <alignment horizontal="right"/>
    </xf>
    <xf numFmtId="9" fontId="0" fillId="0" borderId="14" xfId="60" applyFont="1" applyFill="1" applyBorder="1" applyAlignment="1">
      <alignment/>
    </xf>
    <xf numFmtId="170" fontId="6" fillId="0" borderId="0" xfId="0" applyNumberFormat="1" applyFont="1" applyBorder="1" applyAlignment="1">
      <alignment horizontal="center"/>
    </xf>
    <xf numFmtId="164" fontId="6" fillId="0" borderId="0" xfId="42" applyNumberFormat="1" applyFont="1" applyBorder="1" applyAlignment="1">
      <alignment horizontal="center"/>
    </xf>
    <xf numFmtId="164" fontId="0" fillId="0" borderId="0" xfId="42" applyNumberFormat="1" applyFont="1" applyBorder="1" applyAlignment="1">
      <alignment horizontal="center"/>
    </xf>
    <xf numFmtId="164" fontId="0" fillId="0" borderId="0" xfId="42" applyNumberFormat="1" applyFont="1" applyBorder="1" applyAlignment="1">
      <alignment horizontal="center"/>
    </xf>
    <xf numFmtId="9" fontId="81" fillId="0" borderId="32" xfId="60" applyFont="1" applyBorder="1" applyAlignment="1">
      <alignment horizontal="center"/>
    </xf>
    <xf numFmtId="9" fontId="0" fillId="0" borderId="14" xfId="60" applyFont="1" applyBorder="1" applyAlignment="1">
      <alignment horizontal="center"/>
    </xf>
    <xf numFmtId="9" fontId="0" fillId="0" borderId="14" xfId="60" applyFont="1" applyBorder="1" applyAlignment="1">
      <alignment horizontal="center"/>
    </xf>
    <xf numFmtId="164" fontId="0" fillId="0" borderId="28" xfId="42" applyNumberFormat="1" applyFont="1" applyBorder="1" applyAlignment="1">
      <alignment horizontal="center"/>
    </xf>
    <xf numFmtId="0" fontId="2" fillId="0" borderId="32" xfId="0" applyFont="1" applyFill="1" applyBorder="1" applyAlignment="1">
      <alignment/>
    </xf>
    <xf numFmtId="43" fontId="2" fillId="0" borderId="12" xfId="0" applyNumberFormat="1" applyFont="1" applyFill="1" applyBorder="1" applyAlignment="1">
      <alignment vertical="center"/>
    </xf>
    <xf numFmtId="0" fontId="0" fillId="0" borderId="25" xfId="0" applyBorder="1" applyAlignment="1">
      <alignment horizontal="center"/>
    </xf>
    <xf numFmtId="164" fontId="0" fillId="0" borderId="32" xfId="42" applyNumberFormat="1" applyFont="1" applyBorder="1" applyAlignment="1">
      <alignment vertical="center"/>
    </xf>
    <xf numFmtId="164" fontId="0" fillId="0" borderId="14" xfId="42" applyNumberFormat="1" applyFont="1" applyBorder="1" applyAlignment="1">
      <alignment vertical="center"/>
    </xf>
    <xf numFmtId="0" fontId="2" fillId="0" borderId="32" xfId="0" applyFont="1" applyFill="1" applyBorder="1" applyAlignment="1">
      <alignment vertical="center"/>
    </xf>
    <xf numFmtId="164" fontId="2" fillId="0" borderId="32" xfId="0" applyNumberFormat="1" applyFont="1" applyFill="1" applyBorder="1" applyAlignment="1">
      <alignment vertical="center"/>
    </xf>
    <xf numFmtId="0" fontId="0" fillId="0" borderId="24" xfId="0" applyFont="1" applyFill="1" applyBorder="1" applyAlignment="1">
      <alignment horizontal="center" vertical="center" wrapText="1"/>
    </xf>
    <xf numFmtId="0" fontId="0" fillId="0" borderId="0" xfId="0" applyAlignment="1">
      <alignment horizontal="center" vertical="center" wrapText="1"/>
    </xf>
    <xf numFmtId="0" fontId="0" fillId="0" borderId="32" xfId="0" applyFill="1" applyBorder="1" applyAlignment="1">
      <alignment/>
    </xf>
    <xf numFmtId="3" fontId="0" fillId="0" borderId="32" xfId="0" applyNumberFormat="1" applyFill="1" applyBorder="1" applyAlignment="1">
      <alignment/>
    </xf>
    <xf numFmtId="3" fontId="0" fillId="0" borderId="14" xfId="0" applyNumberFormat="1" applyFill="1" applyBorder="1" applyAlignment="1">
      <alignment/>
    </xf>
    <xf numFmtId="0" fontId="0" fillId="0" borderId="24" xfId="0" applyFont="1" applyFill="1" applyBorder="1" applyAlignment="1">
      <alignment horizontal="center" vertical="center"/>
    </xf>
    <xf numFmtId="166" fontId="0" fillId="0" borderId="0" xfId="42" applyNumberFormat="1" applyFont="1" applyAlignment="1">
      <alignment vertical="center"/>
    </xf>
    <xf numFmtId="164" fontId="0" fillId="0" borderId="0" xfId="42" applyNumberFormat="1" applyFont="1" applyAlignment="1">
      <alignment vertical="center"/>
    </xf>
    <xf numFmtId="166" fontId="0" fillId="0" borderId="12" xfId="42" applyNumberFormat="1" applyFont="1" applyBorder="1" applyAlignment="1">
      <alignment vertical="center"/>
    </xf>
    <xf numFmtId="9" fontId="0" fillId="0" borderId="26" xfId="60" applyFont="1" applyBorder="1" applyAlignment="1">
      <alignment horizontal="center" vertical="center"/>
    </xf>
    <xf numFmtId="9" fontId="0" fillId="0" borderId="28" xfId="60" applyFont="1" applyBorder="1" applyAlignment="1">
      <alignment horizontal="center" vertical="center"/>
    </xf>
    <xf numFmtId="9" fontId="0" fillId="0" borderId="37" xfId="60" applyFont="1" applyBorder="1" applyAlignment="1">
      <alignment horizontal="center" vertical="center"/>
    </xf>
    <xf numFmtId="167" fontId="0" fillId="0" borderId="0" xfId="0" applyNumberFormat="1" applyFill="1" applyAlignment="1">
      <alignment/>
    </xf>
    <xf numFmtId="164" fontId="0" fillId="0" borderId="31" xfId="42" applyNumberFormat="1" applyFont="1" applyFill="1" applyBorder="1" applyAlignment="1">
      <alignment/>
    </xf>
    <xf numFmtId="0" fontId="0" fillId="0" borderId="33" xfId="0" applyBorder="1" applyAlignment="1">
      <alignment/>
    </xf>
    <xf numFmtId="0" fontId="0" fillId="0" borderId="34" xfId="0" applyFill="1" applyBorder="1" applyAlignment="1">
      <alignment/>
    </xf>
    <xf numFmtId="3" fontId="0" fillId="0" borderId="34" xfId="0" applyNumberFormat="1" applyFill="1" applyBorder="1" applyAlignment="1">
      <alignment/>
    </xf>
    <xf numFmtId="0" fontId="0" fillId="0" borderId="26" xfId="0" applyFont="1" applyFill="1" applyBorder="1" applyAlignment="1">
      <alignment horizontal="left" indent="1"/>
    </xf>
    <xf numFmtId="0" fontId="0" fillId="0" borderId="28" xfId="0" applyFont="1" applyFill="1" applyBorder="1" applyAlignment="1">
      <alignment horizontal="left" indent="1"/>
    </xf>
    <xf numFmtId="0" fontId="2" fillId="0" borderId="28" xfId="0" applyFont="1" applyFill="1" applyBorder="1" applyAlignment="1">
      <alignment horizontal="left"/>
    </xf>
    <xf numFmtId="0" fontId="12" fillId="0" borderId="12" xfId="0" applyFont="1" applyFill="1" applyBorder="1" applyAlignment="1">
      <alignment horizontal="center"/>
    </xf>
    <xf numFmtId="170" fontId="0" fillId="0" borderId="32" xfId="0" applyNumberFormat="1" applyFont="1" applyFill="1" applyBorder="1" applyAlignment="1">
      <alignment horizontal="right"/>
    </xf>
    <xf numFmtId="170" fontId="0" fillId="0" borderId="14" xfId="0" applyNumberFormat="1" applyFont="1" applyFill="1" applyBorder="1" applyAlignment="1">
      <alignment horizontal="right"/>
    </xf>
    <xf numFmtId="170" fontId="0" fillId="0" borderId="31" xfId="0" applyNumberFormat="1" applyFont="1" applyFill="1" applyBorder="1" applyAlignment="1">
      <alignment horizontal="right"/>
    </xf>
    <xf numFmtId="164" fontId="0" fillId="0" borderId="14" xfId="42" applyNumberFormat="1" applyFont="1" applyFill="1" applyBorder="1" applyAlignment="1">
      <alignment horizontal="right"/>
    </xf>
    <xf numFmtId="1" fontId="0" fillId="0" borderId="14" xfId="0" applyNumberFormat="1" applyFont="1" applyFill="1" applyBorder="1" applyAlignment="1">
      <alignment horizontal="right"/>
    </xf>
    <xf numFmtId="170" fontId="2" fillId="0" borderId="14" xfId="0" applyNumberFormat="1" applyFont="1" applyFill="1" applyBorder="1" applyAlignment="1">
      <alignment horizontal="right"/>
    </xf>
    <xf numFmtId="1" fontId="6" fillId="0" borderId="14" xfId="0" applyNumberFormat="1" applyFont="1" applyBorder="1" applyAlignment="1">
      <alignment horizontal="center"/>
    </xf>
    <xf numFmtId="1" fontId="6" fillId="0" borderId="0" xfId="0" applyNumberFormat="1" applyFont="1" applyBorder="1" applyAlignment="1">
      <alignment horizontal="center"/>
    </xf>
    <xf numFmtId="1" fontId="0" fillId="0" borderId="12" xfId="0" applyNumberFormat="1" applyBorder="1" applyAlignment="1">
      <alignment horizontal="center"/>
    </xf>
    <xf numFmtId="1" fontId="0" fillId="0" borderId="32" xfId="0" applyNumberFormat="1" applyBorder="1" applyAlignment="1">
      <alignment horizontal="center"/>
    </xf>
    <xf numFmtId="0" fontId="0" fillId="0" borderId="32" xfId="0" applyBorder="1" applyAlignment="1">
      <alignment horizontal="right"/>
    </xf>
    <xf numFmtId="171" fontId="54" fillId="0" borderId="0" xfId="57" applyNumberFormat="1" applyFill="1" applyBorder="1">
      <alignment/>
      <protection/>
    </xf>
    <xf numFmtId="0" fontId="0" fillId="0" borderId="0" xfId="60" applyNumberFormat="1" applyFont="1" applyFill="1" applyBorder="1" applyAlignment="1">
      <alignment horizontal="center" vertical="center"/>
    </xf>
    <xf numFmtId="1" fontId="0" fillId="0" borderId="11" xfId="0" applyNumberFormat="1" applyBorder="1" applyAlignment="1">
      <alignment/>
    </xf>
    <xf numFmtId="164" fontId="0" fillId="0" borderId="12" xfId="42" applyNumberFormat="1" applyFont="1" applyBorder="1" applyAlignment="1">
      <alignment horizontal="left" vertical="center"/>
    </xf>
    <xf numFmtId="164" fontId="0" fillId="0" borderId="0" xfId="42" applyNumberFormat="1" applyFont="1" applyBorder="1" applyAlignment="1">
      <alignment horizontal="left" vertical="center"/>
    </xf>
    <xf numFmtId="164" fontId="0" fillId="0" borderId="0" xfId="42" applyNumberFormat="1" applyFont="1" applyBorder="1" applyAlignment="1">
      <alignment vertical="center"/>
    </xf>
    <xf numFmtId="4" fontId="0" fillId="0" borderId="0" xfId="0" applyNumberFormat="1" applyFill="1" applyBorder="1" applyAlignment="1">
      <alignment/>
    </xf>
    <xf numFmtId="1" fontId="0" fillId="0" borderId="12" xfId="0" applyNumberFormat="1" applyFill="1" applyBorder="1" applyAlignment="1">
      <alignment/>
    </xf>
    <xf numFmtId="43" fontId="0" fillId="0" borderId="0" xfId="42" applyNumberFormat="1" applyFont="1" applyFill="1" applyBorder="1" applyAlignment="1">
      <alignment horizontal="center" vertical="center" wrapText="1"/>
    </xf>
    <xf numFmtId="166" fontId="0" fillId="0" borderId="0" xfId="0" applyNumberFormat="1" applyFont="1" applyAlignment="1">
      <alignment/>
    </xf>
    <xf numFmtId="0" fontId="0" fillId="0" borderId="0" xfId="0" applyFont="1" applyFill="1" applyBorder="1" applyAlignment="1">
      <alignment/>
    </xf>
    <xf numFmtId="43" fontId="0" fillId="0" borderId="0" xfId="42" applyFont="1" applyFill="1" applyBorder="1" applyAlignment="1">
      <alignment horizontal="center"/>
    </xf>
    <xf numFmtId="164" fontId="0" fillId="0" borderId="0" xfId="42" applyNumberFormat="1" applyFont="1" applyFill="1" applyBorder="1" applyAlignment="1">
      <alignment horizontal="center"/>
    </xf>
    <xf numFmtId="0" fontId="1" fillId="0" borderId="12" xfId="0" applyFont="1" applyBorder="1" applyAlignment="1">
      <alignment vertical="center" wrapText="1"/>
    </xf>
    <xf numFmtId="0" fontId="1" fillId="0" borderId="0" xfId="0" applyFont="1" applyBorder="1" applyAlignment="1">
      <alignment vertical="center" wrapText="1"/>
    </xf>
    <xf numFmtId="2" fontId="1" fillId="0" borderId="0" xfId="0" applyNumberFormat="1" applyFont="1" applyFill="1" applyBorder="1" applyAlignment="1">
      <alignment horizontal="center"/>
    </xf>
    <xf numFmtId="166" fontId="0" fillId="0" borderId="0" xfId="0" applyNumberFormat="1" applyAlignment="1">
      <alignment/>
    </xf>
    <xf numFmtId="166" fontId="2" fillId="0" borderId="0" xfId="0" applyNumberFormat="1" applyFont="1" applyAlignment="1">
      <alignment/>
    </xf>
    <xf numFmtId="166" fontId="79" fillId="0" borderId="0" xfId="42" applyNumberFormat="1" applyFont="1" applyAlignment="1">
      <alignment/>
    </xf>
    <xf numFmtId="166" fontId="0" fillId="0" borderId="0" xfId="0" applyNumberFormat="1" applyFont="1" applyAlignment="1">
      <alignment horizontal="center"/>
    </xf>
    <xf numFmtId="164" fontId="79" fillId="0" borderId="0" xfId="42" applyNumberFormat="1" applyFont="1" applyBorder="1" applyAlignment="1">
      <alignment/>
    </xf>
    <xf numFmtId="164" fontId="79" fillId="0" borderId="0" xfId="42" applyNumberFormat="1" applyFont="1" applyAlignment="1">
      <alignment/>
    </xf>
    <xf numFmtId="164" fontId="2" fillId="0" borderId="0" xfId="42" applyNumberFormat="1" applyFont="1" applyAlignment="1">
      <alignment/>
    </xf>
    <xf numFmtId="166" fontId="2" fillId="0" borderId="0" xfId="42" applyNumberFormat="1" applyFont="1" applyAlignment="1">
      <alignment/>
    </xf>
    <xf numFmtId="43" fontId="0" fillId="0" borderId="11" xfId="42" applyNumberFormat="1" applyFont="1" applyBorder="1" applyAlignment="1">
      <alignment/>
    </xf>
    <xf numFmtId="0" fontId="79" fillId="0" borderId="0" xfId="0" applyFont="1" applyFill="1" applyAlignment="1">
      <alignment/>
    </xf>
    <xf numFmtId="0" fontId="0" fillId="0" borderId="24" xfId="0" applyFill="1" applyBorder="1" applyAlignment="1">
      <alignment horizontal="center" vertical="center" wrapText="1"/>
    </xf>
    <xf numFmtId="0" fontId="0" fillId="0" borderId="24" xfId="0" applyBorder="1" applyAlignment="1">
      <alignment horizontal="center" vertical="center"/>
    </xf>
    <xf numFmtId="43" fontId="2" fillId="0" borderId="0" xfId="0" applyNumberFormat="1" applyFont="1" applyAlignment="1">
      <alignment/>
    </xf>
    <xf numFmtId="0" fontId="11" fillId="33" borderId="0" xfId="0" applyFont="1" applyFill="1" applyAlignment="1">
      <alignment/>
    </xf>
    <xf numFmtId="0" fontId="15" fillId="33" borderId="0" xfId="0" applyFont="1" applyFill="1" applyAlignment="1">
      <alignment/>
    </xf>
    <xf numFmtId="2" fontId="0" fillId="33" borderId="14" xfId="0" applyNumberFormat="1" applyFont="1" applyFill="1" applyBorder="1" applyAlignment="1">
      <alignment/>
    </xf>
    <xf numFmtId="2" fontId="0" fillId="33" borderId="0" xfId="0" applyNumberFormat="1" applyFont="1" applyFill="1" applyBorder="1" applyAlignment="1">
      <alignment/>
    </xf>
    <xf numFmtId="0" fontId="0" fillId="33" borderId="0" xfId="0" applyFont="1" applyFill="1" applyBorder="1" applyAlignment="1">
      <alignment/>
    </xf>
    <xf numFmtId="0" fontId="0" fillId="33" borderId="0" xfId="0" applyFont="1" applyFill="1" applyAlignment="1">
      <alignment horizontal="left" indent="1"/>
    </xf>
    <xf numFmtId="0" fontId="11" fillId="0" borderId="0" xfId="0" applyFont="1" applyFill="1" applyAlignment="1">
      <alignment/>
    </xf>
    <xf numFmtId="0" fontId="0" fillId="0" borderId="0" xfId="0" applyFill="1" applyAlignment="1">
      <alignment horizontal="center"/>
    </xf>
    <xf numFmtId="0" fontId="0" fillId="0" borderId="30" xfId="0" applyFont="1" applyFill="1" applyBorder="1" applyAlignment="1">
      <alignment horizontal="center"/>
    </xf>
    <xf numFmtId="0" fontId="0" fillId="0" borderId="30" xfId="0" applyFill="1" applyBorder="1" applyAlignment="1">
      <alignment horizontal="center"/>
    </xf>
    <xf numFmtId="2" fontId="0" fillId="0" borderId="32" xfId="0" applyNumberFormat="1" applyFill="1" applyBorder="1" applyAlignment="1">
      <alignment/>
    </xf>
    <xf numFmtId="1" fontId="0" fillId="0" borderId="26" xfId="0" applyNumberFormat="1" applyFill="1" applyBorder="1" applyAlignment="1">
      <alignment/>
    </xf>
    <xf numFmtId="2" fontId="0" fillId="0" borderId="14" xfId="0" applyNumberFormat="1" applyFill="1" applyBorder="1" applyAlignment="1">
      <alignment/>
    </xf>
    <xf numFmtId="170" fontId="0" fillId="0" borderId="0" xfId="0" applyNumberFormat="1" applyFill="1" applyBorder="1" applyAlignment="1">
      <alignment/>
    </xf>
    <xf numFmtId="1" fontId="0" fillId="0" borderId="28" xfId="0" applyNumberFormat="1" applyFill="1" applyBorder="1" applyAlignment="1">
      <alignment/>
    </xf>
    <xf numFmtId="0" fontId="0" fillId="0" borderId="25" xfId="0" applyFill="1" applyBorder="1" applyAlignment="1">
      <alignment/>
    </xf>
    <xf numFmtId="2" fontId="0" fillId="0" borderId="13" xfId="0" applyNumberFormat="1" applyFill="1" applyBorder="1" applyAlignment="1">
      <alignment/>
    </xf>
    <xf numFmtId="1" fontId="0" fillId="0" borderId="13" xfId="0" applyNumberFormat="1" applyFill="1" applyBorder="1" applyAlignment="1">
      <alignment/>
    </xf>
    <xf numFmtId="164" fontId="0" fillId="0" borderId="38" xfId="42" applyNumberFormat="1" applyFont="1" applyFill="1" applyBorder="1" applyAlignment="1">
      <alignment/>
    </xf>
    <xf numFmtId="1" fontId="0" fillId="0" borderId="27" xfId="0" applyNumberFormat="1" applyFill="1" applyBorder="1" applyAlignment="1">
      <alignment/>
    </xf>
    <xf numFmtId="43" fontId="0" fillId="0" borderId="0" xfId="0" applyNumberFormat="1" applyFill="1" applyAlignment="1">
      <alignment/>
    </xf>
    <xf numFmtId="193" fontId="0" fillId="0" borderId="0" xfId="42" applyNumberFormat="1" applyFont="1" applyFill="1" applyAlignment="1">
      <alignment/>
    </xf>
    <xf numFmtId="176" fontId="0" fillId="0" borderId="0" xfId="0" applyNumberFormat="1" applyFill="1" applyAlignment="1">
      <alignment/>
    </xf>
    <xf numFmtId="0" fontId="0" fillId="0" borderId="14" xfId="0" applyFont="1" applyFill="1" applyBorder="1" applyAlignment="1">
      <alignment horizontal="left" indent="1"/>
    </xf>
    <xf numFmtId="43" fontId="0" fillId="0" borderId="14" xfId="42" applyFont="1" applyFill="1" applyBorder="1" applyAlignment="1">
      <alignment horizontal="left" vertical="center"/>
    </xf>
    <xf numFmtId="164" fontId="0" fillId="0" borderId="0" xfId="42" applyNumberFormat="1" applyFont="1" applyFill="1" applyBorder="1" applyAlignment="1">
      <alignment horizontal="left" vertical="center"/>
    </xf>
    <xf numFmtId="9" fontId="0" fillId="0" borderId="0" xfId="60" applyFont="1" applyFill="1" applyBorder="1" applyAlignment="1">
      <alignment horizontal="center" vertical="center"/>
    </xf>
    <xf numFmtId="43" fontId="0" fillId="0" borderId="14" xfId="42" applyNumberFormat="1" applyFont="1" applyFill="1" applyBorder="1" applyAlignment="1">
      <alignment vertical="center"/>
    </xf>
    <xf numFmtId="164" fontId="0" fillId="0" borderId="14" xfId="42" applyNumberFormat="1" applyFont="1" applyFill="1" applyBorder="1" applyAlignment="1">
      <alignment vertical="center"/>
    </xf>
    <xf numFmtId="164" fontId="0" fillId="0" borderId="28" xfId="42" applyNumberFormat="1" applyFont="1" applyFill="1" applyBorder="1" applyAlignment="1">
      <alignment vertical="center"/>
    </xf>
    <xf numFmtId="1" fontId="0" fillId="0" borderId="28" xfId="0" applyNumberFormat="1" applyFill="1" applyBorder="1" applyAlignment="1">
      <alignment vertical="center"/>
    </xf>
    <xf numFmtId="9" fontId="79" fillId="0" borderId="0" xfId="0" applyNumberFormat="1" applyFont="1" applyFill="1" applyAlignment="1">
      <alignment/>
    </xf>
    <xf numFmtId="9" fontId="79" fillId="0" borderId="0" xfId="60" applyFont="1" applyFill="1" applyAlignment="1">
      <alignment/>
    </xf>
    <xf numFmtId="164" fontId="0" fillId="0" borderId="0" xfId="42" applyNumberFormat="1" applyFont="1" applyFill="1" applyBorder="1" applyAlignment="1">
      <alignment vertical="center"/>
    </xf>
    <xf numFmtId="1" fontId="79" fillId="0" borderId="0" xfId="0" applyNumberFormat="1" applyFont="1" applyFill="1" applyBorder="1" applyAlignment="1">
      <alignment/>
    </xf>
    <xf numFmtId="0" fontId="79" fillId="0" borderId="0" xfId="0" applyFont="1" applyFill="1" applyBorder="1" applyAlignment="1">
      <alignment/>
    </xf>
    <xf numFmtId="164" fontId="0" fillId="0" borderId="12" xfId="42" applyNumberFormat="1" applyFont="1" applyBorder="1" applyAlignment="1">
      <alignment vertical="center"/>
    </xf>
    <xf numFmtId="164" fontId="0" fillId="0" borderId="0" xfId="42" applyNumberFormat="1" applyFont="1" applyFill="1" applyBorder="1" applyAlignment="1">
      <alignment vertical="center"/>
    </xf>
    <xf numFmtId="0" fontId="0" fillId="0" borderId="32" xfId="0" applyBorder="1" applyAlignment="1">
      <alignment horizontal="center"/>
    </xf>
    <xf numFmtId="43" fontId="0" fillId="0" borderId="12" xfId="42" applyFont="1" applyBorder="1" applyAlignment="1">
      <alignment horizontal="center" vertical="center"/>
    </xf>
    <xf numFmtId="43" fontId="0" fillId="0" borderId="0" xfId="42" applyFont="1" applyBorder="1" applyAlignment="1">
      <alignment horizontal="center" vertical="center"/>
    </xf>
    <xf numFmtId="43" fontId="0" fillId="0" borderId="0" xfId="42" applyFont="1" applyFill="1" applyBorder="1" applyAlignment="1">
      <alignment horizontal="center" vertical="center"/>
    </xf>
    <xf numFmtId="164" fontId="0" fillId="0" borderId="0" xfId="42" applyNumberFormat="1" applyFont="1" applyBorder="1" applyAlignment="1">
      <alignment horizontal="center" vertical="center"/>
    </xf>
    <xf numFmtId="164" fontId="0" fillId="0" borderId="0" xfId="42" applyNumberFormat="1" applyFont="1" applyFill="1" applyBorder="1" applyAlignment="1">
      <alignment horizontal="center" vertical="center"/>
    </xf>
    <xf numFmtId="0" fontId="2" fillId="0" borderId="30" xfId="0" applyFont="1" applyFill="1" applyBorder="1" applyAlignment="1">
      <alignment horizontal="left"/>
    </xf>
    <xf numFmtId="43" fontId="2" fillId="0" borderId="14" xfId="0" applyNumberFormat="1" applyFont="1" applyFill="1" applyBorder="1" applyAlignment="1">
      <alignment horizontal="left" vertical="center"/>
    </xf>
    <xf numFmtId="164" fontId="2" fillId="0" borderId="12" xfId="0" applyNumberFormat="1" applyFont="1" applyFill="1" applyBorder="1" applyAlignment="1">
      <alignment horizontal="left" vertical="center"/>
    </xf>
    <xf numFmtId="43" fontId="2" fillId="0" borderId="12" xfId="0" applyNumberFormat="1" applyFont="1" applyFill="1" applyBorder="1" applyAlignment="1">
      <alignment horizontal="left" vertical="center"/>
    </xf>
    <xf numFmtId="43" fontId="2" fillId="0" borderId="30" xfId="42" applyNumberFormat="1" applyFont="1" applyFill="1" applyBorder="1" applyAlignment="1">
      <alignment vertical="center"/>
    </xf>
    <xf numFmtId="164" fontId="2" fillId="0" borderId="32" xfId="42" applyNumberFormat="1" applyFont="1" applyFill="1" applyBorder="1" applyAlignment="1">
      <alignment vertical="center"/>
    </xf>
    <xf numFmtId="164" fontId="2" fillId="0" borderId="12" xfId="42" applyNumberFormat="1" applyFont="1" applyFill="1" applyBorder="1" applyAlignment="1">
      <alignment vertical="center"/>
    </xf>
    <xf numFmtId="164" fontId="2" fillId="0" borderId="26" xfId="42" applyNumberFormat="1" applyFont="1" applyFill="1" applyBorder="1" applyAlignment="1">
      <alignment vertical="center"/>
    </xf>
    <xf numFmtId="0" fontId="0" fillId="0" borderId="36" xfId="0" applyFont="1" applyFill="1" applyBorder="1" applyAlignment="1">
      <alignment horizontal="left"/>
    </xf>
    <xf numFmtId="0" fontId="0" fillId="0" borderId="0" xfId="0" applyFont="1" applyFill="1" applyBorder="1" applyAlignment="1">
      <alignment horizontal="left" vertical="center"/>
    </xf>
    <xf numFmtId="43" fontId="0" fillId="0" borderId="36" xfId="42" applyNumberFormat="1" applyFont="1" applyFill="1" applyBorder="1" applyAlignment="1">
      <alignment vertical="center"/>
    </xf>
    <xf numFmtId="0" fontId="12" fillId="0" borderId="36" xfId="0" applyFont="1" applyFill="1" applyBorder="1" applyAlignment="1">
      <alignment horizontal="left" indent="1"/>
    </xf>
    <xf numFmtId="43" fontId="12" fillId="0" borderId="14" xfId="42" applyFont="1" applyFill="1" applyBorder="1" applyAlignment="1">
      <alignment horizontal="left" vertical="center"/>
    </xf>
    <xf numFmtId="164" fontId="12" fillId="0" borderId="0" xfId="42" applyNumberFormat="1" applyFont="1" applyFill="1" applyBorder="1" applyAlignment="1">
      <alignment horizontal="left" vertical="center"/>
    </xf>
    <xf numFmtId="164" fontId="0" fillId="0" borderId="36" xfId="42" applyNumberFormat="1" applyFont="1" applyFill="1" applyBorder="1" applyAlignment="1">
      <alignment vertical="center"/>
    </xf>
    <xf numFmtId="0" fontId="79" fillId="0" borderId="0" xfId="0" applyFont="1" applyFill="1" applyAlignment="1">
      <alignment horizontal="left"/>
    </xf>
    <xf numFmtId="166" fontId="12" fillId="0" borderId="0" xfId="42" applyNumberFormat="1" applyFont="1" applyFill="1" applyBorder="1" applyAlignment="1">
      <alignment horizontal="left" vertical="center"/>
    </xf>
    <xf numFmtId="9" fontId="12" fillId="0" borderId="0" xfId="60" applyFont="1" applyFill="1" applyBorder="1" applyAlignment="1">
      <alignment horizontal="center" vertical="center"/>
    </xf>
    <xf numFmtId="43" fontId="0" fillId="0" borderId="12" xfId="0" applyNumberFormat="1" applyFill="1" applyBorder="1" applyAlignment="1">
      <alignment/>
    </xf>
    <xf numFmtId="0" fontId="2" fillId="0" borderId="30" xfId="0" applyFont="1" applyFill="1" applyBorder="1" applyAlignment="1">
      <alignment vertical="center"/>
    </xf>
    <xf numFmtId="0" fontId="0" fillId="0" borderId="0" xfId="0" applyFont="1" applyFill="1" applyBorder="1" applyAlignment="1">
      <alignment vertical="center"/>
    </xf>
    <xf numFmtId="0" fontId="0" fillId="0" borderId="36" xfId="0" applyFont="1" applyFill="1" applyBorder="1" applyAlignment="1">
      <alignment vertical="center"/>
    </xf>
    <xf numFmtId="0" fontId="0" fillId="0" borderId="14" xfId="0" applyFont="1" applyFill="1" applyBorder="1" applyAlignment="1">
      <alignment vertical="center"/>
    </xf>
    <xf numFmtId="0" fontId="2" fillId="0" borderId="33" xfId="0" applyFont="1" applyFill="1" applyBorder="1" applyAlignment="1">
      <alignment/>
    </xf>
    <xf numFmtId="43" fontId="2" fillId="0" borderId="39" xfId="0" applyNumberFormat="1" applyFont="1" applyFill="1" applyBorder="1" applyAlignment="1">
      <alignment vertical="center"/>
    </xf>
    <xf numFmtId="164" fontId="2" fillId="0" borderId="34" xfId="0" applyNumberFormat="1" applyFont="1" applyFill="1" applyBorder="1" applyAlignment="1">
      <alignment vertical="center"/>
    </xf>
    <xf numFmtId="43" fontId="2" fillId="0" borderId="34" xfId="0" applyNumberFormat="1" applyFont="1" applyFill="1" applyBorder="1" applyAlignment="1">
      <alignment vertical="center"/>
    </xf>
    <xf numFmtId="0" fontId="2" fillId="0" borderId="40" xfId="0" applyFont="1" applyFill="1" applyBorder="1" applyAlignment="1">
      <alignment vertical="center"/>
    </xf>
    <xf numFmtId="164" fontId="2" fillId="0" borderId="39" xfId="0" applyNumberFormat="1" applyFont="1" applyFill="1" applyBorder="1" applyAlignment="1">
      <alignment vertical="center"/>
    </xf>
    <xf numFmtId="0" fontId="2" fillId="0" borderId="39" xfId="0" applyFont="1" applyFill="1" applyBorder="1" applyAlignment="1">
      <alignment vertical="center"/>
    </xf>
    <xf numFmtId="0" fontId="2" fillId="0" borderId="0" xfId="0" applyFont="1" applyFill="1" applyAlignment="1">
      <alignment/>
    </xf>
    <xf numFmtId="43" fontId="0" fillId="0" borderId="0" xfId="0" applyNumberFormat="1" applyFont="1" applyFill="1" applyAlignment="1">
      <alignment/>
    </xf>
    <xf numFmtId="0" fontId="12" fillId="0" borderId="30" xfId="0" applyFont="1" applyFill="1" applyBorder="1" applyAlignment="1">
      <alignment horizontal="left" indent="1"/>
    </xf>
    <xf numFmtId="0" fontId="0" fillId="0" borderId="32" xfId="0" applyFont="1" applyFill="1" applyBorder="1" applyAlignment="1">
      <alignment horizontal="left" indent="1"/>
    </xf>
    <xf numFmtId="43" fontId="2" fillId="0" borderId="32" xfId="0" applyNumberFormat="1" applyFont="1" applyFill="1" applyBorder="1" applyAlignment="1">
      <alignment horizontal="left" vertical="center"/>
    </xf>
    <xf numFmtId="9" fontId="0" fillId="0" borderId="11" xfId="60" applyFont="1" applyFill="1" applyBorder="1" applyAlignment="1">
      <alignment/>
    </xf>
    <xf numFmtId="0" fontId="0" fillId="0" borderId="38" xfId="0" applyFont="1" applyBorder="1" applyAlignment="1">
      <alignment horizontal="center"/>
    </xf>
    <xf numFmtId="0" fontId="0" fillId="0" borderId="0" xfId="0" applyFont="1" applyAlignment="1">
      <alignment horizontal="center" vertical="center"/>
    </xf>
    <xf numFmtId="0" fontId="0" fillId="0" borderId="0" xfId="0" applyAlignment="1">
      <alignment horizontal="center" vertical="center"/>
    </xf>
    <xf numFmtId="166" fontId="0" fillId="0" borderId="0" xfId="42" applyNumberFormat="1" applyFont="1" applyFill="1" applyAlignment="1">
      <alignment/>
    </xf>
    <xf numFmtId="167" fontId="0" fillId="0" borderId="0" xfId="42" applyNumberFormat="1" applyFont="1" applyFill="1" applyAlignment="1">
      <alignment/>
    </xf>
    <xf numFmtId="43" fontId="0" fillId="0" borderId="0" xfId="42" applyNumberFormat="1" applyFont="1" applyFill="1" applyAlignment="1">
      <alignment/>
    </xf>
    <xf numFmtId="164" fontId="71" fillId="0" borderId="11" xfId="42" applyNumberFormat="1" applyFont="1" applyFill="1" applyBorder="1" applyAlignment="1">
      <alignment/>
    </xf>
    <xf numFmtId="164" fontId="0" fillId="0" borderId="0" xfId="42" applyNumberFormat="1" applyFont="1" applyFill="1" applyAlignment="1">
      <alignment horizontal="left"/>
    </xf>
    <xf numFmtId="0" fontId="71" fillId="0" borderId="11" xfId="0" applyFont="1" applyFill="1" applyBorder="1" applyAlignment="1">
      <alignment/>
    </xf>
    <xf numFmtId="164" fontId="3" fillId="0" borderId="0" xfId="42" applyNumberFormat="1" applyFont="1" applyFill="1" applyAlignment="1">
      <alignment/>
    </xf>
    <xf numFmtId="49" fontId="54" fillId="0" borderId="0" xfId="42" applyNumberFormat="1" applyFont="1" applyFill="1" applyAlignment="1">
      <alignment horizontal="left"/>
    </xf>
    <xf numFmtId="9" fontId="3" fillId="0" borderId="0" xfId="60" applyFont="1" applyFill="1" applyAlignment="1">
      <alignment/>
    </xf>
    <xf numFmtId="164" fontId="71" fillId="0" borderId="11" xfId="42" applyNumberFormat="1" applyFont="1" applyFill="1" applyBorder="1" applyAlignment="1">
      <alignment horizontal="left"/>
    </xf>
    <xf numFmtId="164" fontId="0" fillId="0" borderId="0" xfId="42" applyNumberFormat="1" applyFont="1" applyFill="1" applyAlignment="1">
      <alignment horizontal="left"/>
    </xf>
    <xf numFmtId="49" fontId="0" fillId="0" borderId="0" xfId="42" applyNumberFormat="1" applyFont="1" applyFill="1" applyAlignment="1">
      <alignment horizontal="right"/>
    </xf>
    <xf numFmtId="9" fontId="0" fillId="0" borderId="0" xfId="60" applyNumberFormat="1" applyFont="1" applyFill="1" applyAlignment="1">
      <alignment horizontal="left"/>
    </xf>
    <xf numFmtId="49" fontId="72" fillId="0" borderId="0" xfId="42" applyNumberFormat="1" applyFont="1" applyFill="1" applyAlignment="1">
      <alignment/>
    </xf>
    <xf numFmtId="9" fontId="0" fillId="0" borderId="0" xfId="60" applyNumberFormat="1" applyFont="1" applyFill="1" applyAlignment="1">
      <alignment/>
    </xf>
    <xf numFmtId="164" fontId="1" fillId="0" borderId="0" xfId="42" applyNumberFormat="1" applyFont="1" applyFill="1" applyAlignment="1">
      <alignment/>
    </xf>
    <xf numFmtId="164" fontId="1" fillId="0" borderId="0" xfId="42" applyNumberFormat="1" applyFont="1" applyFill="1" applyAlignment="1">
      <alignment horizontal="right"/>
    </xf>
    <xf numFmtId="164" fontId="72" fillId="0" borderId="0" xfId="42" applyNumberFormat="1" applyFont="1" applyFill="1" applyAlignment="1">
      <alignment/>
    </xf>
    <xf numFmtId="9" fontId="1" fillId="0" borderId="0" xfId="60" applyFont="1" applyFill="1" applyAlignment="1">
      <alignment/>
    </xf>
    <xf numFmtId="164" fontId="0" fillId="0" borderId="0" xfId="42" applyNumberFormat="1" applyFont="1" applyFill="1" applyAlignment="1">
      <alignment horizontal="right"/>
    </xf>
    <xf numFmtId="9" fontId="1" fillId="0" borderId="0" xfId="42" applyNumberFormat="1" applyFont="1" applyFill="1" applyAlignment="1">
      <alignment/>
    </xf>
    <xf numFmtId="166" fontId="1" fillId="0" borderId="0" xfId="42" applyNumberFormat="1" applyFont="1" applyFill="1" applyAlignment="1">
      <alignment/>
    </xf>
    <xf numFmtId="43" fontId="3" fillId="0" borderId="0" xfId="42" applyNumberFormat="1" applyFont="1" applyFill="1" applyAlignment="1">
      <alignment/>
    </xf>
    <xf numFmtId="205" fontId="0" fillId="0" borderId="0" xfId="42" applyNumberFormat="1" applyFont="1" applyFill="1" applyAlignment="1">
      <alignment/>
    </xf>
    <xf numFmtId="0" fontId="80" fillId="0" borderId="25" xfId="0" applyFont="1" applyFill="1" applyBorder="1" applyAlignment="1">
      <alignment/>
    </xf>
    <xf numFmtId="166" fontId="79" fillId="0" borderId="13" xfId="42" applyNumberFormat="1" applyFont="1" applyFill="1" applyBorder="1" applyAlignment="1">
      <alignment/>
    </xf>
    <xf numFmtId="9" fontId="79" fillId="0" borderId="13" xfId="60" applyFont="1" applyFill="1" applyBorder="1" applyAlignment="1">
      <alignment/>
    </xf>
    <xf numFmtId="165" fontId="79" fillId="0" borderId="27" xfId="60" applyNumberFormat="1" applyFont="1" applyBorder="1" applyAlignment="1">
      <alignment/>
    </xf>
    <xf numFmtId="0" fontId="79" fillId="0" borderId="0" xfId="0" applyFont="1" applyFill="1" applyAlignment="1">
      <alignment horizontal="left" indent="1"/>
    </xf>
    <xf numFmtId="166" fontId="79" fillId="0" borderId="0" xfId="42" applyNumberFormat="1" applyFont="1" applyFill="1" applyAlignment="1">
      <alignment/>
    </xf>
    <xf numFmtId="165" fontId="79" fillId="0" borderId="0" xfId="60" applyNumberFormat="1" applyFont="1" applyFill="1" applyAlignment="1">
      <alignment/>
    </xf>
    <xf numFmtId="165" fontId="79" fillId="0" borderId="0" xfId="60" applyNumberFormat="1" applyFont="1" applyAlignment="1">
      <alignment/>
    </xf>
    <xf numFmtId="0" fontId="80" fillId="0" borderId="25" xfId="0" applyFont="1" applyFill="1" applyBorder="1" applyAlignment="1">
      <alignment horizontal="left"/>
    </xf>
    <xf numFmtId="0" fontId="71" fillId="0" borderId="11" xfId="0" applyFont="1" applyFill="1" applyBorder="1" applyAlignment="1">
      <alignment horizontal="left"/>
    </xf>
    <xf numFmtId="167" fontId="72" fillId="0" borderId="0" xfId="42" applyNumberFormat="1" applyFont="1" applyFill="1" applyAlignment="1">
      <alignment/>
    </xf>
    <xf numFmtId="9" fontId="0" fillId="0" borderId="0" xfId="60" applyFont="1" applyFill="1" applyAlignment="1">
      <alignment horizontal="left"/>
    </xf>
    <xf numFmtId="49" fontId="0" fillId="0" borderId="0" xfId="42" applyNumberFormat="1" applyFont="1" applyFill="1" applyAlignment="1">
      <alignment/>
    </xf>
    <xf numFmtId="2" fontId="0" fillId="0" borderId="0" xfId="60" applyNumberFormat="1" applyFont="1" applyFill="1" applyAlignment="1">
      <alignment/>
    </xf>
    <xf numFmtId="49" fontId="0" fillId="0" borderId="0" xfId="42" applyNumberFormat="1" applyFont="1" applyFill="1" applyAlignment="1">
      <alignment horizontal="right"/>
    </xf>
    <xf numFmtId="49" fontId="3" fillId="0" borderId="0" xfId="42" applyNumberFormat="1" applyFont="1" applyFill="1" applyAlignment="1">
      <alignment horizontal="right"/>
    </xf>
    <xf numFmtId="49" fontId="3" fillId="0" borderId="0" xfId="42" applyNumberFormat="1" applyFont="1" applyFill="1" applyAlignment="1">
      <alignment/>
    </xf>
    <xf numFmtId="168" fontId="0" fillId="0" borderId="0" xfId="42" applyNumberFormat="1" applyFont="1" applyFill="1" applyAlignment="1">
      <alignment/>
    </xf>
    <xf numFmtId="164" fontId="82" fillId="0" borderId="0" xfId="42" applyNumberFormat="1" applyFont="1" applyFill="1" applyAlignment="1">
      <alignment/>
    </xf>
    <xf numFmtId="0" fontId="0" fillId="0" borderId="0" xfId="0" applyFont="1" applyFill="1" applyAlignment="1">
      <alignment horizontal="right"/>
    </xf>
    <xf numFmtId="169" fontId="3" fillId="0" borderId="0" xfId="0" applyNumberFormat="1" applyFont="1" applyFill="1" applyBorder="1" applyAlignment="1">
      <alignment horizontal="right"/>
    </xf>
    <xf numFmtId="49" fontId="3" fillId="0" borderId="0" xfId="42" applyNumberFormat="1" applyFont="1" applyFill="1" applyAlignment="1">
      <alignment horizontal="left"/>
    </xf>
    <xf numFmtId="164" fontId="82" fillId="0" borderId="0" xfId="42" applyNumberFormat="1" applyFont="1" applyFill="1" applyAlignment="1">
      <alignment horizontal="left"/>
    </xf>
    <xf numFmtId="0" fontId="72" fillId="0" borderId="0" xfId="0" applyFont="1" applyFill="1" applyAlignment="1">
      <alignment/>
    </xf>
    <xf numFmtId="165" fontId="0" fillId="0" borderId="0" xfId="60" applyNumberFormat="1" applyFont="1" applyFill="1" applyAlignment="1">
      <alignment/>
    </xf>
    <xf numFmtId="164" fontId="71" fillId="0" borderId="13" xfId="42" applyNumberFormat="1" applyFont="1" applyFill="1" applyBorder="1" applyAlignment="1">
      <alignment horizontal="right"/>
    </xf>
    <xf numFmtId="164" fontId="71" fillId="0" borderId="13" xfId="42" applyNumberFormat="1" applyFont="1" applyFill="1" applyBorder="1" applyAlignment="1">
      <alignment/>
    </xf>
    <xf numFmtId="43" fontId="71" fillId="0" borderId="13" xfId="42" applyNumberFormat="1" applyFont="1" applyFill="1" applyBorder="1" applyAlignment="1">
      <alignment/>
    </xf>
    <xf numFmtId="169" fontId="3" fillId="0" borderId="41" xfId="0" applyNumberFormat="1" applyFont="1" applyFill="1" applyBorder="1" applyAlignment="1">
      <alignment horizontal="right"/>
    </xf>
    <xf numFmtId="2" fontId="3" fillId="0" borderId="0" xfId="42" applyNumberFormat="1" applyFont="1" applyFill="1" applyAlignment="1">
      <alignment/>
    </xf>
    <xf numFmtId="167" fontId="0" fillId="0" borderId="0" xfId="42" applyNumberFormat="1" applyFont="1" applyFill="1" applyAlignment="1">
      <alignment/>
    </xf>
    <xf numFmtId="168" fontId="0" fillId="0" borderId="0" xfId="42" applyNumberFormat="1" applyFont="1" applyFill="1" applyAlignment="1">
      <alignment/>
    </xf>
    <xf numFmtId="49" fontId="83" fillId="0" borderId="0" xfId="42" applyNumberFormat="1" applyFont="1" applyFill="1" applyAlignment="1">
      <alignment/>
    </xf>
    <xf numFmtId="164" fontId="73" fillId="0" borderId="0" xfId="42" applyNumberFormat="1" applyFont="1" applyFill="1" applyAlignment="1">
      <alignment/>
    </xf>
    <xf numFmtId="0" fontId="0" fillId="0" borderId="0" xfId="0" applyBorder="1" applyAlignment="1">
      <alignment horizontal="center" vertical="center" wrapText="1"/>
    </xf>
    <xf numFmtId="0" fontId="0" fillId="0" borderId="24" xfId="0" applyBorder="1" applyAlignment="1">
      <alignment horizont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4" xfId="0" applyFont="1" applyBorder="1" applyAlignment="1">
      <alignment horizontal="center"/>
    </xf>
    <xf numFmtId="0" fontId="0" fillId="0" borderId="0" xfId="0" applyFont="1" applyAlignment="1">
      <alignment/>
    </xf>
    <xf numFmtId="0" fontId="0" fillId="0" borderId="27" xfId="0" applyBorder="1" applyAlignment="1">
      <alignment horizontal="center" wrapText="1"/>
    </xf>
    <xf numFmtId="0" fontId="0" fillId="0" borderId="25" xfId="0" applyBorder="1" applyAlignment="1">
      <alignment horizontal="center" wrapText="1"/>
    </xf>
    <xf numFmtId="0" fontId="0" fillId="0" borderId="13" xfId="0" applyBorder="1" applyAlignment="1">
      <alignment horizontal="center" vertical="center" wrapText="1"/>
    </xf>
    <xf numFmtId="3" fontId="0" fillId="0" borderId="0" xfId="0" applyNumberFormat="1" applyBorder="1" applyAlignment="1">
      <alignment/>
    </xf>
    <xf numFmtId="0" fontId="0" fillId="0" borderId="24" xfId="0" applyFont="1" applyBorder="1" applyAlignment="1">
      <alignment horizontal="left" vertical="top"/>
    </xf>
    <xf numFmtId="0" fontId="0" fillId="0" borderId="24" xfId="0" applyFont="1" applyBorder="1" applyAlignment="1">
      <alignment horizontal="center" vertical="center"/>
    </xf>
    <xf numFmtId="0" fontId="0" fillId="0" borderId="14" xfId="0" applyFont="1" applyBorder="1" applyAlignment="1">
      <alignment horizontal="center"/>
    </xf>
    <xf numFmtId="164" fontId="0" fillId="0" borderId="34" xfId="42" applyNumberFormat="1" applyFont="1" applyFill="1" applyBorder="1" applyAlignment="1">
      <alignment/>
    </xf>
    <xf numFmtId="9" fontId="0" fillId="0" borderId="14" xfId="60" applyFont="1" applyBorder="1" applyAlignment="1">
      <alignment horizontal="center"/>
    </xf>
    <xf numFmtId="1" fontId="0" fillId="0" borderId="14" xfId="42" applyNumberFormat="1" applyFont="1" applyBorder="1" applyAlignment="1">
      <alignment horizontal="center" vertical="center"/>
    </xf>
    <xf numFmtId="164" fontId="0" fillId="0" borderId="0" xfId="42" applyNumberFormat="1" applyFont="1" applyBorder="1" applyAlignment="1">
      <alignment horizontal="center"/>
    </xf>
    <xf numFmtId="164" fontId="0" fillId="0" borderId="14" xfId="42" applyNumberFormat="1" applyFont="1" applyBorder="1" applyAlignment="1">
      <alignment horizontal="center"/>
    </xf>
    <xf numFmtId="164" fontId="0" fillId="0" borderId="28" xfId="42" applyNumberFormat="1" applyFont="1" applyBorder="1" applyAlignment="1">
      <alignment horizontal="center"/>
    </xf>
    <xf numFmtId="43" fontId="0" fillId="0" borderId="0" xfId="0" applyNumberFormat="1" applyFont="1" applyAlignment="1">
      <alignment/>
    </xf>
    <xf numFmtId="49" fontId="0" fillId="0" borderId="0" xfId="0" applyNumberFormat="1" applyFont="1" applyFill="1" applyBorder="1" applyAlignment="1">
      <alignment horizontal="right"/>
    </xf>
    <xf numFmtId="49" fontId="0" fillId="0" borderId="0" xfId="0" applyNumberFormat="1" applyFill="1" applyBorder="1" applyAlignment="1">
      <alignment horizontal="right"/>
    </xf>
    <xf numFmtId="0" fontId="0" fillId="0" borderId="27" xfId="0" applyFont="1" applyFill="1" applyBorder="1" applyAlignment="1">
      <alignment/>
    </xf>
    <xf numFmtId="9" fontId="0" fillId="0" borderId="0" xfId="60" applyFont="1" applyBorder="1" applyAlignment="1">
      <alignment horizontal="center"/>
    </xf>
    <xf numFmtId="9" fontId="0" fillId="0" borderId="12" xfId="60" applyFont="1" applyBorder="1" applyAlignment="1">
      <alignment horizontal="center"/>
    </xf>
    <xf numFmtId="170" fontId="0" fillId="0" borderId="32" xfId="0" applyNumberFormat="1" applyFill="1" applyBorder="1" applyAlignment="1">
      <alignment horizontal="center"/>
    </xf>
    <xf numFmtId="164" fontId="0" fillId="0" borderId="26" xfId="42" applyNumberFormat="1" applyFont="1" applyBorder="1" applyAlignment="1">
      <alignment horizontal="center"/>
    </xf>
    <xf numFmtId="164" fontId="0" fillId="0" borderId="32" xfId="42" applyNumberFormat="1" applyFont="1" applyBorder="1" applyAlignment="1">
      <alignment horizontal="center"/>
    </xf>
    <xf numFmtId="9" fontId="0" fillId="0" borderId="0" xfId="60" applyFont="1" applyBorder="1" applyAlignment="1">
      <alignment horizontal="center"/>
    </xf>
    <xf numFmtId="9" fontId="0" fillId="0" borderId="36" xfId="60" applyFont="1" applyBorder="1" applyAlignment="1">
      <alignment horizontal="center"/>
    </xf>
    <xf numFmtId="170" fontId="0" fillId="0" borderId="14" xfId="0" applyNumberFormat="1" applyFill="1" applyBorder="1" applyAlignment="1">
      <alignment horizontal="center"/>
    </xf>
    <xf numFmtId="164" fontId="0" fillId="0" borderId="36" xfId="42" applyNumberFormat="1" applyFont="1" applyBorder="1" applyAlignment="1">
      <alignment horizontal="center"/>
    </xf>
    <xf numFmtId="9" fontId="0" fillId="0" borderId="13" xfId="60" applyFont="1" applyBorder="1" applyAlignment="1">
      <alignment horizontal="center"/>
    </xf>
    <xf numFmtId="9" fontId="0" fillId="0" borderId="25" xfId="60" applyFont="1" applyBorder="1" applyAlignment="1">
      <alignment horizontal="center"/>
    </xf>
    <xf numFmtId="164" fontId="0" fillId="0" borderId="25" xfId="42" applyNumberFormat="1" applyFont="1" applyBorder="1" applyAlignment="1">
      <alignment horizontal="center"/>
    </xf>
    <xf numFmtId="164" fontId="0" fillId="0" borderId="27" xfId="42" applyNumberFormat="1" applyFont="1" applyBorder="1" applyAlignment="1">
      <alignment horizontal="center"/>
    </xf>
    <xf numFmtId="164" fontId="0" fillId="0" borderId="24" xfId="42" applyNumberFormat="1" applyFont="1" applyBorder="1" applyAlignment="1">
      <alignment horizontal="center"/>
    </xf>
    <xf numFmtId="9" fontId="0" fillId="0" borderId="24" xfId="60" applyFont="1" applyBorder="1" applyAlignment="1">
      <alignment horizontal="center"/>
    </xf>
    <xf numFmtId="170" fontId="0" fillId="0" borderId="31" xfId="0" applyNumberFormat="1" applyBorder="1" applyAlignment="1">
      <alignment horizontal="center"/>
    </xf>
    <xf numFmtId="2" fontId="0" fillId="0" borderId="12" xfId="0" applyNumberFormat="1" applyBorder="1" applyAlignment="1">
      <alignment horizontal="center"/>
    </xf>
    <xf numFmtId="2" fontId="0" fillId="0" borderId="26" xfId="0" applyNumberFormat="1" applyBorder="1" applyAlignment="1">
      <alignment horizontal="center"/>
    </xf>
    <xf numFmtId="2" fontId="0" fillId="0" borderId="0" xfId="0" applyNumberFormat="1" applyBorder="1" applyAlignment="1">
      <alignment horizontal="center"/>
    </xf>
    <xf numFmtId="2" fontId="0" fillId="0" borderId="28" xfId="0" applyNumberFormat="1" applyBorder="1" applyAlignment="1">
      <alignment horizontal="center"/>
    </xf>
    <xf numFmtId="2" fontId="0" fillId="0" borderId="0" xfId="0" applyNumberFormat="1" applyFont="1" applyFill="1" applyBorder="1" applyAlignment="1">
      <alignment horizontal="center"/>
    </xf>
    <xf numFmtId="2" fontId="0" fillId="0" borderId="13" xfId="0" applyNumberFormat="1" applyBorder="1" applyAlignment="1">
      <alignment horizontal="center"/>
    </xf>
    <xf numFmtId="2" fontId="0" fillId="0" borderId="13" xfId="42" applyNumberFormat="1" applyFont="1" applyBorder="1" applyAlignment="1">
      <alignment horizontal="center"/>
    </xf>
    <xf numFmtId="2" fontId="0" fillId="0" borderId="27" xfId="42" applyNumberFormat="1" applyFont="1" applyBorder="1" applyAlignment="1">
      <alignment horizontal="center"/>
    </xf>
    <xf numFmtId="2" fontId="0" fillId="0" borderId="25" xfId="0" applyNumberFormat="1" applyBorder="1" applyAlignment="1">
      <alignment horizontal="center"/>
    </xf>
    <xf numFmtId="2" fontId="0" fillId="0" borderId="11" xfId="0" applyNumberFormat="1" applyBorder="1" applyAlignment="1">
      <alignment horizontal="center"/>
    </xf>
    <xf numFmtId="2" fontId="0" fillId="0" borderId="0" xfId="0" applyNumberFormat="1" applyAlignment="1">
      <alignment horizontal="center"/>
    </xf>
    <xf numFmtId="170" fontId="0" fillId="0" borderId="14" xfId="0" applyNumberFormat="1" applyBorder="1" applyAlignment="1">
      <alignment horizontal="center"/>
    </xf>
    <xf numFmtId="170" fontId="0" fillId="0" borderId="25" xfId="42" applyNumberFormat="1" applyFont="1" applyBorder="1" applyAlignment="1">
      <alignment horizontal="center"/>
    </xf>
    <xf numFmtId="164" fontId="0" fillId="0" borderId="25" xfId="42" applyNumberFormat="1" applyFont="1" applyBorder="1" applyAlignment="1">
      <alignment horizontal="center"/>
    </xf>
    <xf numFmtId="170" fontId="0" fillId="0" borderId="0" xfId="42" applyNumberFormat="1" applyFont="1" applyAlignment="1">
      <alignment horizontal="center"/>
    </xf>
    <xf numFmtId="9" fontId="0" fillId="0" borderId="30" xfId="60" applyFont="1" applyBorder="1" applyAlignment="1">
      <alignment horizontal="center"/>
    </xf>
    <xf numFmtId="9" fontId="0" fillId="0" borderId="36" xfId="60" applyFont="1" applyBorder="1" applyAlignment="1">
      <alignment horizontal="center"/>
    </xf>
    <xf numFmtId="9" fontId="0" fillId="0" borderId="26" xfId="60" applyFont="1" applyBorder="1" applyAlignment="1">
      <alignment horizontal="center"/>
    </xf>
    <xf numFmtId="164" fontId="0" fillId="0" borderId="36" xfId="42" applyNumberFormat="1" applyFont="1" applyBorder="1" applyAlignment="1">
      <alignment horizontal="center"/>
    </xf>
    <xf numFmtId="171" fontId="0" fillId="0" borderId="0" xfId="0" applyNumberFormat="1" applyFont="1" applyAlignment="1">
      <alignment horizontal="right"/>
    </xf>
    <xf numFmtId="3" fontId="0" fillId="0" borderId="14" xfId="0" applyNumberFormat="1" applyFont="1" applyFill="1" applyBorder="1" applyAlignment="1">
      <alignment/>
    </xf>
    <xf numFmtId="1" fontId="0" fillId="0" borderId="14" xfId="0" applyNumberFormat="1" applyFont="1" applyBorder="1" applyAlignment="1">
      <alignment horizontal="center"/>
    </xf>
    <xf numFmtId="164" fontId="0" fillId="0" borderId="28" xfId="42" applyNumberFormat="1" applyFont="1" applyBorder="1" applyAlignment="1">
      <alignment horizontal="center"/>
    </xf>
    <xf numFmtId="164" fontId="0" fillId="0" borderId="12" xfId="0" applyNumberFormat="1" applyBorder="1" applyAlignment="1">
      <alignment horizontal="right"/>
    </xf>
    <xf numFmtId="164" fontId="0" fillId="0" borderId="0" xfId="42" applyNumberFormat="1" applyFont="1" applyFill="1" applyBorder="1" applyAlignment="1">
      <alignment/>
    </xf>
    <xf numFmtId="170" fontId="0" fillId="0" borderId="11" xfId="0" applyNumberFormat="1" applyFill="1" applyBorder="1" applyAlignment="1">
      <alignment/>
    </xf>
    <xf numFmtId="0" fontId="0" fillId="0" borderId="0" xfId="0" applyFont="1" applyFill="1" applyBorder="1" applyAlignment="1">
      <alignment horizontal="center"/>
    </xf>
    <xf numFmtId="164" fontId="0" fillId="0" borderId="0" xfId="42" applyNumberFormat="1" applyFont="1" applyFill="1" applyBorder="1" applyAlignment="1">
      <alignment horizontal="left"/>
    </xf>
    <xf numFmtId="0" fontId="0" fillId="0" borderId="0" xfId="0" applyFont="1" applyFill="1" applyBorder="1" applyAlignment="1">
      <alignment horizontal="left"/>
    </xf>
    <xf numFmtId="43" fontId="78" fillId="0" borderId="0" xfId="0" applyNumberFormat="1" applyFont="1" applyFill="1" applyBorder="1" applyAlignment="1">
      <alignment/>
    </xf>
    <xf numFmtId="9" fontId="0" fillId="0" borderId="0" xfId="0" applyNumberFormat="1" applyFont="1" applyFill="1" applyBorder="1" applyAlignment="1">
      <alignment/>
    </xf>
    <xf numFmtId="43" fontId="0" fillId="0" borderId="0" xfId="0" applyNumberFormat="1" applyFont="1" applyFill="1" applyBorder="1" applyAlignment="1">
      <alignment/>
    </xf>
    <xf numFmtId="9" fontId="0" fillId="0" borderId="0" xfId="0" applyNumberFormat="1" applyFont="1" applyFill="1" applyBorder="1" applyAlignment="1">
      <alignment wrapText="1"/>
    </xf>
    <xf numFmtId="2" fontId="78" fillId="0" borderId="0" xfId="42" applyNumberFormat="1" applyFont="1" applyFill="1" applyBorder="1" applyAlignment="1">
      <alignment horizontal="right" wrapText="1"/>
    </xf>
    <xf numFmtId="164" fontId="0" fillId="0" borderId="0" xfId="0" applyNumberFormat="1" applyFont="1" applyFill="1" applyBorder="1" applyAlignment="1">
      <alignment horizontal="left" wrapText="1"/>
    </xf>
    <xf numFmtId="164" fontId="0" fillId="0" borderId="0" xfId="42" applyNumberFormat="1" applyFont="1" applyFill="1" applyBorder="1" applyAlignment="1">
      <alignment horizontal="left" wrapText="1"/>
    </xf>
    <xf numFmtId="1" fontId="0" fillId="0" borderId="0" xfId="42" applyNumberFormat="1" applyFont="1" applyFill="1" applyBorder="1" applyAlignment="1">
      <alignment horizontal="right"/>
    </xf>
    <xf numFmtId="43" fontId="0" fillId="0" borderId="14" xfId="0" applyNumberFormat="1" applyFont="1" applyFill="1" applyBorder="1" applyAlignment="1">
      <alignment/>
    </xf>
    <xf numFmtId="2" fontId="0" fillId="0" borderId="14" xfId="42" applyNumberFormat="1" applyFont="1" applyFill="1" applyBorder="1" applyAlignment="1">
      <alignment horizontal="right"/>
    </xf>
    <xf numFmtId="0" fontId="0" fillId="0" borderId="38" xfId="0" applyFont="1" applyBorder="1" applyAlignment="1">
      <alignment/>
    </xf>
    <xf numFmtId="2" fontId="78" fillId="0" borderId="14" xfId="42" applyNumberFormat="1" applyFont="1" applyFill="1" applyBorder="1" applyAlignment="1">
      <alignment horizontal="right" wrapText="1"/>
    </xf>
    <xf numFmtId="9" fontId="0" fillId="0" borderId="14" xfId="0" applyNumberFormat="1" applyFont="1" applyFill="1" applyBorder="1" applyAlignment="1">
      <alignment/>
    </xf>
    <xf numFmtId="43" fontId="0" fillId="0" borderId="11" xfId="0" applyNumberFormat="1" applyFont="1" applyFill="1" applyBorder="1" applyAlignment="1">
      <alignment/>
    </xf>
    <xf numFmtId="9" fontId="0" fillId="0" borderId="31" xfId="0" applyNumberFormat="1" applyFont="1" applyFill="1" applyBorder="1" applyAlignment="1">
      <alignment/>
    </xf>
    <xf numFmtId="43" fontId="0" fillId="0" borderId="31" xfId="0" applyNumberFormat="1" applyFont="1" applyFill="1" applyBorder="1" applyAlignment="1">
      <alignment/>
    </xf>
    <xf numFmtId="164" fontId="0" fillId="0" borderId="37" xfId="0" applyNumberFormat="1" applyFont="1" applyFill="1" applyBorder="1" applyAlignment="1">
      <alignment/>
    </xf>
    <xf numFmtId="0" fontId="0" fillId="0" borderId="0" xfId="0" applyFont="1" applyFill="1" applyBorder="1" applyAlignment="1">
      <alignment horizontal="left" indent="1"/>
    </xf>
    <xf numFmtId="1" fontId="0" fillId="0" borderId="14" xfId="0" applyNumberFormat="1" applyFont="1" applyBorder="1" applyAlignment="1">
      <alignment horizontal="right"/>
    </xf>
    <xf numFmtId="1" fontId="0" fillId="0" borderId="14" xfId="42" applyNumberFormat="1" applyFont="1" applyFill="1" applyBorder="1" applyAlignment="1">
      <alignment horizontal="right"/>
    </xf>
    <xf numFmtId="164" fontId="0" fillId="0" borderId="28" xfId="0" applyNumberFormat="1" applyFont="1" applyFill="1" applyBorder="1" applyAlignment="1">
      <alignment horizontal="center"/>
    </xf>
    <xf numFmtId="164" fontId="0" fillId="0" borderId="28" xfId="0" applyNumberFormat="1" applyFont="1" applyFill="1" applyBorder="1" applyAlignment="1">
      <alignment/>
    </xf>
    <xf numFmtId="1" fontId="0" fillId="0" borderId="28" xfId="42" applyNumberFormat="1" applyFont="1" applyFill="1" applyBorder="1" applyAlignment="1">
      <alignment horizontal="right"/>
    </xf>
    <xf numFmtId="164" fontId="0" fillId="0" borderId="14" xfId="0" applyNumberFormat="1" applyFont="1" applyFill="1" applyBorder="1" applyAlignment="1">
      <alignment horizontal="left" wrapText="1"/>
    </xf>
    <xf numFmtId="164" fontId="0" fillId="0" borderId="14" xfId="0" applyNumberFormat="1" applyFont="1" applyFill="1" applyBorder="1" applyAlignment="1">
      <alignment/>
    </xf>
    <xf numFmtId="164" fontId="0" fillId="0" borderId="34" xfId="0" applyNumberFormat="1" applyBorder="1" applyAlignment="1">
      <alignment/>
    </xf>
    <xf numFmtId="1" fontId="0" fillId="0" borderId="0" xfId="60" applyNumberFormat="1" applyFont="1" applyFill="1" applyBorder="1" applyAlignment="1">
      <alignment/>
    </xf>
    <xf numFmtId="1" fontId="73" fillId="0" borderId="14" xfId="42" applyNumberFormat="1" applyFont="1" applyFill="1" applyBorder="1" applyAlignment="1">
      <alignment horizontal="right"/>
    </xf>
    <xf numFmtId="1" fontId="73" fillId="0" borderId="0" xfId="42" applyNumberFormat="1" applyFont="1" applyFill="1" applyBorder="1" applyAlignment="1">
      <alignment horizontal="right"/>
    </xf>
    <xf numFmtId="43" fontId="73" fillId="0" borderId="0" xfId="0" applyNumberFormat="1" applyFont="1" applyFill="1" applyBorder="1" applyAlignment="1">
      <alignment/>
    </xf>
    <xf numFmtId="164" fontId="73" fillId="0" borderId="14" xfId="0" applyNumberFormat="1" applyFont="1" applyFill="1" applyBorder="1" applyAlignment="1">
      <alignment/>
    </xf>
    <xf numFmtId="0" fontId="0" fillId="0" borderId="24" xfId="0" applyFont="1" applyFill="1" applyBorder="1" applyAlignment="1">
      <alignment horizontal="left"/>
    </xf>
    <xf numFmtId="49" fontId="0" fillId="0" borderId="0" xfId="0" applyNumberFormat="1" applyFont="1" applyFill="1" applyBorder="1" applyAlignment="1">
      <alignment/>
    </xf>
    <xf numFmtId="164" fontId="73" fillId="0" borderId="28" xfId="0" applyNumberFormat="1" applyFont="1" applyFill="1" applyBorder="1" applyAlignment="1">
      <alignment/>
    </xf>
    <xf numFmtId="3" fontId="79" fillId="0" borderId="32" xfId="0" applyNumberFormat="1" applyFont="1" applyBorder="1" applyAlignment="1">
      <alignment/>
    </xf>
    <xf numFmtId="164" fontId="79" fillId="0" borderId="12" xfId="0" applyNumberFormat="1" applyFont="1" applyFill="1" applyBorder="1" applyAlignment="1">
      <alignment horizontal="left" wrapText="1"/>
    </xf>
    <xf numFmtId="164" fontId="79" fillId="0" borderId="26" xfId="0" applyNumberFormat="1" applyFont="1" applyFill="1" applyBorder="1" applyAlignment="1">
      <alignment horizontal="left" wrapText="1"/>
    </xf>
    <xf numFmtId="1" fontId="0" fillId="0" borderId="31" xfId="60" applyNumberFormat="1" applyFont="1" applyFill="1" applyBorder="1" applyAlignment="1">
      <alignment/>
    </xf>
    <xf numFmtId="164" fontId="0" fillId="0" borderId="11" xfId="42" applyNumberFormat="1" applyFont="1" applyFill="1" applyBorder="1" applyAlignment="1">
      <alignment horizontal="left" wrapText="1"/>
    </xf>
    <xf numFmtId="164" fontId="0" fillId="0" borderId="37" xfId="0" applyNumberFormat="1" applyFont="1" applyFill="1" applyBorder="1" applyAlignment="1">
      <alignment horizontal="left" wrapText="1"/>
    </xf>
    <xf numFmtId="0" fontId="7" fillId="0" borderId="0" xfId="0" applyFont="1" applyFill="1" applyBorder="1" applyAlignment="1">
      <alignment horizontal="left"/>
    </xf>
    <xf numFmtId="164" fontId="0" fillId="0" borderId="0" xfId="42" applyNumberFormat="1" applyFont="1" applyFill="1" applyAlignment="1">
      <alignment/>
    </xf>
    <xf numFmtId="0" fontId="78" fillId="0" borderId="0" xfId="0" applyFont="1" applyFill="1" applyAlignment="1">
      <alignment/>
    </xf>
    <xf numFmtId="3" fontId="0" fillId="0" borderId="12" xfId="0" applyNumberFormat="1" applyBorder="1" applyAlignment="1">
      <alignment/>
    </xf>
    <xf numFmtId="0" fontId="0" fillId="0" borderId="32" xfId="0" applyFont="1" applyBorder="1" applyAlignment="1">
      <alignment horizontal="center"/>
    </xf>
    <xf numFmtId="1" fontId="0" fillId="0" borderId="0" xfId="0" applyNumberFormat="1" applyBorder="1" applyAlignment="1">
      <alignment/>
    </xf>
    <xf numFmtId="164" fontId="0" fillId="0" borderId="11" xfId="0" applyNumberFormat="1" applyBorder="1" applyAlignment="1">
      <alignment/>
    </xf>
    <xf numFmtId="0" fontId="79" fillId="0" borderId="42" xfId="0" applyFont="1" applyBorder="1" applyAlignment="1">
      <alignment horizontal="left" indent="1"/>
    </xf>
    <xf numFmtId="0" fontId="79" fillId="0" borderId="43" xfId="0" applyFont="1" applyBorder="1" applyAlignment="1">
      <alignment horizontal="left" indent="1"/>
    </xf>
    <xf numFmtId="1" fontId="79" fillId="0" borderId="43" xfId="0" applyNumberFormat="1" applyFont="1" applyBorder="1" applyAlignment="1">
      <alignment/>
    </xf>
    <xf numFmtId="1" fontId="79" fillId="0" borderId="44" xfId="0" applyNumberFormat="1" applyFont="1" applyBorder="1" applyAlignment="1">
      <alignment/>
    </xf>
    <xf numFmtId="0" fontId="79" fillId="0" borderId="45" xfId="0" applyFont="1" applyFill="1" applyBorder="1" applyAlignment="1">
      <alignment horizontal="left" indent="1"/>
    </xf>
    <xf numFmtId="0" fontId="79" fillId="0" borderId="0" xfId="0" applyFont="1" applyBorder="1" applyAlignment="1">
      <alignment horizontal="left" indent="1"/>
    </xf>
    <xf numFmtId="1" fontId="79" fillId="0" borderId="0" xfId="0" applyNumberFormat="1" applyFont="1" applyBorder="1" applyAlignment="1">
      <alignment/>
    </xf>
    <xf numFmtId="1" fontId="79" fillId="0" borderId="46" xfId="0" applyNumberFormat="1" applyFont="1" applyBorder="1" applyAlignment="1">
      <alignment/>
    </xf>
    <xf numFmtId="2" fontId="79" fillId="0" borderId="45" xfId="0" applyNumberFormat="1" applyFont="1" applyBorder="1" applyAlignment="1">
      <alignment horizontal="left" indent="1"/>
    </xf>
    <xf numFmtId="0" fontId="79" fillId="0" borderId="47" xfId="0" applyFont="1" applyFill="1" applyBorder="1" applyAlignment="1">
      <alignment horizontal="left" indent="1"/>
    </xf>
    <xf numFmtId="0" fontId="79" fillId="0" borderId="48" xfId="0" applyFont="1" applyBorder="1" applyAlignment="1">
      <alignment/>
    </xf>
    <xf numFmtId="1" fontId="79" fillId="0" borderId="48" xfId="0" applyNumberFormat="1" applyFont="1" applyBorder="1" applyAlignment="1">
      <alignment/>
    </xf>
    <xf numFmtId="1" fontId="79" fillId="0" borderId="49" xfId="0" applyNumberFormat="1" applyFont="1" applyBorder="1" applyAlignment="1">
      <alignment/>
    </xf>
    <xf numFmtId="0" fontId="0" fillId="0" borderId="13" xfId="0" applyBorder="1" applyAlignment="1">
      <alignment/>
    </xf>
    <xf numFmtId="166" fontId="0" fillId="0" borderId="12" xfId="42" applyNumberFormat="1" applyFont="1" applyFill="1" applyBorder="1" applyAlignment="1">
      <alignment/>
    </xf>
    <xf numFmtId="164" fontId="0" fillId="0" borderId="11" xfId="0" applyNumberFormat="1" applyFill="1" applyBorder="1" applyAlignment="1">
      <alignment/>
    </xf>
    <xf numFmtId="0" fontId="84" fillId="0" borderId="0" xfId="0" applyFont="1" applyAlignment="1">
      <alignment/>
    </xf>
    <xf numFmtId="0" fontId="1" fillId="0" borderId="0" xfId="0" applyFont="1" applyBorder="1" applyAlignment="1">
      <alignment horizontal="center" vertical="center"/>
    </xf>
    <xf numFmtId="164" fontId="2" fillId="0" borderId="0" xfId="0" applyNumberFormat="1" applyFont="1" applyBorder="1" applyAlignment="1">
      <alignment/>
    </xf>
    <xf numFmtId="164" fontId="0" fillId="0" borderId="0" xfId="0" applyNumberFormat="1" applyBorder="1" applyAlignment="1">
      <alignment horizontal="right"/>
    </xf>
    <xf numFmtId="164" fontId="0" fillId="0" borderId="0" xfId="0" applyNumberFormat="1" applyFont="1" applyBorder="1" applyAlignment="1">
      <alignment horizontal="right"/>
    </xf>
    <xf numFmtId="164" fontId="2" fillId="0" borderId="0" xfId="42" applyNumberFormat="1" applyFont="1" applyBorder="1" applyAlignment="1">
      <alignment/>
    </xf>
    <xf numFmtId="164" fontId="2" fillId="0" borderId="0" xfId="0" applyNumberFormat="1" applyFont="1" applyBorder="1" applyAlignment="1">
      <alignment horizontal="right"/>
    </xf>
    <xf numFmtId="164" fontId="0" fillId="0" borderId="0" xfId="42" applyNumberFormat="1" applyFont="1" applyBorder="1" applyAlignment="1">
      <alignment horizontal="right"/>
    </xf>
    <xf numFmtId="164" fontId="2" fillId="0" borderId="0" xfId="42" applyNumberFormat="1" applyFont="1" applyBorder="1" applyAlignment="1">
      <alignment horizontal="right"/>
    </xf>
    <xf numFmtId="164" fontId="0" fillId="0" borderId="0" xfId="42" applyNumberFormat="1" applyFont="1" applyBorder="1" applyAlignment="1">
      <alignment horizontal="right"/>
    </xf>
    <xf numFmtId="166" fontId="0" fillId="0" borderId="0" xfId="42" applyNumberFormat="1" applyFont="1" applyBorder="1" applyAlignment="1">
      <alignment/>
    </xf>
    <xf numFmtId="167" fontId="0" fillId="0" borderId="0" xfId="0" applyNumberFormat="1" applyBorder="1" applyAlignment="1">
      <alignment/>
    </xf>
    <xf numFmtId="164" fontId="0" fillId="0" borderId="0" xfId="0" applyNumberFormat="1" applyFill="1" applyBorder="1" applyAlignment="1">
      <alignment horizontal="right"/>
    </xf>
    <xf numFmtId="166" fontId="0" fillId="0" borderId="0" xfId="0" applyNumberFormat="1" applyFill="1" applyAlignment="1">
      <alignment/>
    </xf>
    <xf numFmtId="166" fontId="2" fillId="0" borderId="0" xfId="0" applyNumberFormat="1" applyFont="1" applyFill="1" applyAlignment="1">
      <alignment/>
    </xf>
    <xf numFmtId="164" fontId="2" fillId="0" borderId="0" xfId="0" applyNumberFormat="1" applyFont="1" applyFill="1" applyBorder="1" applyAlignment="1">
      <alignment/>
    </xf>
    <xf numFmtId="166" fontId="0" fillId="0" borderId="0" xfId="0" applyNumberFormat="1" applyFont="1" applyFill="1" applyAlignment="1">
      <alignment horizontal="center"/>
    </xf>
    <xf numFmtId="164" fontId="0" fillId="0" borderId="0" xfId="0" applyNumberFormat="1" applyFont="1" applyFill="1" applyBorder="1" applyAlignment="1">
      <alignment horizontal="right"/>
    </xf>
    <xf numFmtId="0" fontId="2" fillId="0" borderId="0" xfId="42" applyNumberFormat="1" applyFont="1" applyFill="1" applyAlignment="1">
      <alignment horizontal="left"/>
    </xf>
    <xf numFmtId="164" fontId="2" fillId="0" borderId="0" xfId="42" applyNumberFormat="1" applyFont="1" applyFill="1" applyAlignment="1">
      <alignment/>
    </xf>
    <xf numFmtId="166" fontId="2" fillId="0" borderId="0" xfId="0" applyNumberFormat="1" applyFont="1" applyFill="1" applyAlignment="1">
      <alignment horizontal="center"/>
    </xf>
    <xf numFmtId="164" fontId="2" fillId="0" borderId="0" xfId="42" applyNumberFormat="1" applyFont="1" applyFill="1" applyBorder="1" applyAlignment="1">
      <alignment/>
    </xf>
    <xf numFmtId="0" fontId="0" fillId="0" borderId="0" xfId="42" applyNumberFormat="1" applyFont="1" applyFill="1" applyAlignment="1">
      <alignment horizontal="left"/>
    </xf>
    <xf numFmtId="1" fontId="0" fillId="0" borderId="0" xfId="0" applyNumberFormat="1" applyFont="1" applyFill="1" applyBorder="1" applyAlignment="1">
      <alignment horizontal="left"/>
    </xf>
    <xf numFmtId="164" fontId="2" fillId="0" borderId="0" xfId="0" applyNumberFormat="1" applyFont="1" applyFill="1" applyAlignment="1">
      <alignment horizontal="right"/>
    </xf>
    <xf numFmtId="166" fontId="2" fillId="0" borderId="0" xfId="42" applyNumberFormat="1" applyFont="1" applyFill="1" applyAlignment="1">
      <alignment/>
    </xf>
    <xf numFmtId="0" fontId="2" fillId="0" borderId="50" xfId="0" applyFont="1" applyBorder="1" applyAlignment="1">
      <alignment/>
    </xf>
    <xf numFmtId="0" fontId="0" fillId="0" borderId="51" xfId="0" applyBorder="1" applyAlignment="1">
      <alignment/>
    </xf>
    <xf numFmtId="0" fontId="0" fillId="0" borderId="52" xfId="0" applyFont="1" applyBorder="1" applyAlignment="1">
      <alignment/>
    </xf>
    <xf numFmtId="166" fontId="2" fillId="0" borderId="51" xfId="42" applyNumberFormat="1" applyFont="1" applyBorder="1" applyAlignment="1">
      <alignment/>
    </xf>
    <xf numFmtId="166" fontId="0" fillId="0" borderId="34" xfId="0" applyNumberFormat="1" applyBorder="1" applyAlignment="1">
      <alignment/>
    </xf>
    <xf numFmtId="166" fontId="0" fillId="0" borderId="0" xfId="60" applyNumberFormat="1" applyFont="1" applyFill="1" applyAlignment="1">
      <alignment/>
    </xf>
    <xf numFmtId="166" fontId="0" fillId="0" borderId="0" xfId="60" applyNumberFormat="1" applyFont="1" applyAlignment="1">
      <alignment/>
    </xf>
    <xf numFmtId="166" fontId="79" fillId="0" borderId="0" xfId="0" applyNumberFormat="1" applyFont="1" applyAlignment="1">
      <alignment/>
    </xf>
    <xf numFmtId="0" fontId="78" fillId="0" borderId="0" xfId="0" applyFont="1" applyAlignment="1">
      <alignment/>
    </xf>
    <xf numFmtId="0" fontId="85" fillId="0" borderId="0" xfId="0" applyFont="1" applyAlignment="1">
      <alignment horizontal="right"/>
    </xf>
    <xf numFmtId="43" fontId="78" fillId="0" borderId="0" xfId="42" applyFont="1" applyAlignment="1">
      <alignment/>
    </xf>
    <xf numFmtId="164" fontId="78" fillId="0" borderId="0" xfId="0" applyNumberFormat="1" applyFont="1" applyAlignment="1">
      <alignment/>
    </xf>
    <xf numFmtId="0" fontId="78" fillId="0" borderId="0" xfId="0" applyFont="1" applyAlignment="1">
      <alignment horizontal="right"/>
    </xf>
    <xf numFmtId="176" fontId="78" fillId="0" borderId="0" xfId="0" applyNumberFormat="1" applyFont="1" applyAlignment="1">
      <alignment/>
    </xf>
    <xf numFmtId="0" fontId="78" fillId="0" borderId="11" xfId="0" applyFont="1" applyBorder="1" applyAlignment="1">
      <alignment/>
    </xf>
    <xf numFmtId="164" fontId="78" fillId="0" borderId="11" xfId="42" applyNumberFormat="1" applyFont="1" applyBorder="1" applyAlignment="1">
      <alignment/>
    </xf>
    <xf numFmtId="164" fontId="78" fillId="0" borderId="11" xfId="0" applyNumberFormat="1" applyFont="1" applyBorder="1" applyAlignment="1">
      <alignment/>
    </xf>
    <xf numFmtId="43" fontId="2" fillId="0" borderId="0" xfId="0" applyNumberFormat="1" applyFont="1" applyFill="1" applyAlignment="1">
      <alignment/>
    </xf>
    <xf numFmtId="43" fontId="2" fillId="0" borderId="0" xfId="42" applyNumberFormat="1" applyFont="1" applyFill="1" applyAlignment="1">
      <alignment/>
    </xf>
    <xf numFmtId="43" fontId="0" fillId="0" borderId="0" xfId="42" applyNumberFormat="1" applyFont="1" applyAlignment="1">
      <alignment horizontal="right"/>
    </xf>
    <xf numFmtId="43" fontId="79" fillId="0" borderId="0" xfId="42" applyNumberFormat="1" applyFont="1" applyBorder="1" applyAlignment="1">
      <alignment/>
    </xf>
    <xf numFmtId="43" fontId="79" fillId="0" borderId="0" xfId="42" applyNumberFormat="1" applyFont="1" applyAlignment="1">
      <alignment/>
    </xf>
    <xf numFmtId="43" fontId="2" fillId="0" borderId="0" xfId="42" applyNumberFormat="1" applyFont="1" applyAlignment="1">
      <alignment/>
    </xf>
    <xf numFmtId="43" fontId="2" fillId="0" borderId="51" xfId="42" applyNumberFormat="1" applyFont="1" applyBorder="1" applyAlignment="1">
      <alignment horizontal="center"/>
    </xf>
    <xf numFmtId="43" fontId="0" fillId="0" borderId="0" xfId="42" applyNumberFormat="1" applyFont="1" applyBorder="1" applyAlignment="1">
      <alignment/>
    </xf>
    <xf numFmtId="43" fontId="0" fillId="0" borderId="34" xfId="0" applyNumberFormat="1" applyBorder="1" applyAlignment="1">
      <alignment/>
    </xf>
    <xf numFmtId="2" fontId="0" fillId="0" borderId="14" xfId="42" applyNumberFormat="1" applyFont="1" applyBorder="1" applyAlignment="1">
      <alignment horizontal="center"/>
    </xf>
    <xf numFmtId="170" fontId="0" fillId="0" borderId="0" xfId="0" applyNumberFormat="1" applyFont="1" applyAlignment="1">
      <alignment/>
    </xf>
    <xf numFmtId="9" fontId="0" fillId="0" borderId="0" xfId="60" applyFont="1" applyAlignment="1">
      <alignment horizontal="left" vertical="top" wrapText="1"/>
    </xf>
    <xf numFmtId="9" fontId="0" fillId="0" borderId="0" xfId="60" applyFont="1" applyAlignment="1">
      <alignment horizontal="left" vertical="top"/>
    </xf>
    <xf numFmtId="0" fontId="0" fillId="0" borderId="0" xfId="0" applyFont="1" applyAlignment="1">
      <alignment horizontal="left" vertical="top" wrapText="1"/>
    </xf>
    <xf numFmtId="1" fontId="0" fillId="0" borderId="0" xfId="0" applyNumberFormat="1" applyFont="1" applyAlignment="1">
      <alignment horizontal="left" vertical="top" wrapText="1"/>
    </xf>
    <xf numFmtId="0" fontId="0" fillId="0" borderId="0" xfId="0" applyFont="1" applyAlignment="1">
      <alignment horizontal="left" vertical="top"/>
    </xf>
    <xf numFmtId="164" fontId="0" fillId="0" borderId="0" xfId="42" applyNumberFormat="1" applyFont="1" applyAlignment="1">
      <alignment/>
    </xf>
    <xf numFmtId="1" fontId="0" fillId="33" borderId="0" xfId="0" applyNumberFormat="1" applyFont="1" applyFill="1" applyAlignment="1">
      <alignment horizontal="left" vertical="top" wrapText="1"/>
    </xf>
    <xf numFmtId="0" fontId="0" fillId="0" borderId="0" xfId="0" applyFont="1" applyFill="1" applyAlignment="1">
      <alignment horizontal="left" vertical="top" wrapText="1"/>
    </xf>
    <xf numFmtId="0" fontId="0" fillId="33" borderId="0" xfId="0" applyFont="1" applyFill="1" applyAlignment="1">
      <alignment/>
    </xf>
    <xf numFmtId="0" fontId="0" fillId="33" borderId="0" xfId="0" applyFont="1" applyFill="1" applyAlignment="1">
      <alignment horizontal="right" vertical="top" wrapText="1"/>
    </xf>
    <xf numFmtId="164" fontId="0" fillId="0" borderId="0" xfId="42" applyNumberFormat="1" applyFont="1" applyFill="1" applyAlignment="1">
      <alignment horizontal="left" vertical="top" wrapText="1"/>
    </xf>
    <xf numFmtId="164" fontId="0" fillId="0" borderId="0" xfId="0" applyNumberFormat="1" applyFont="1" applyFill="1" applyAlignment="1">
      <alignment horizontal="left" vertical="top" wrapText="1"/>
    </xf>
    <xf numFmtId="164" fontId="0" fillId="0" borderId="0" xfId="0" applyNumberFormat="1" applyFont="1" applyFill="1" applyAlignment="1">
      <alignment horizontal="left" vertical="top"/>
    </xf>
    <xf numFmtId="2" fontId="0" fillId="0" borderId="0" xfId="0" applyNumberFormat="1" applyFont="1" applyAlignment="1">
      <alignment/>
    </xf>
    <xf numFmtId="164" fontId="0" fillId="0" borderId="0" xfId="0" applyNumberFormat="1" applyFont="1" applyAlignment="1">
      <alignment horizontal="left" vertical="top" wrapText="1"/>
    </xf>
    <xf numFmtId="43" fontId="0" fillId="0" borderId="0" xfId="0" applyNumberFormat="1" applyFont="1" applyFill="1" applyAlignment="1">
      <alignment horizontal="left" vertical="top"/>
    </xf>
    <xf numFmtId="164" fontId="0" fillId="0" borderId="0" xfId="42" applyNumberFormat="1" applyFont="1" applyFill="1" applyAlignment="1">
      <alignment horizontal="left" vertical="top"/>
    </xf>
    <xf numFmtId="43" fontId="0" fillId="0" borderId="0" xfId="0" applyNumberFormat="1" applyFont="1" applyFill="1" applyAlignment="1">
      <alignment horizontal="left" vertical="top" wrapText="1"/>
    </xf>
    <xf numFmtId="0" fontId="4" fillId="0" borderId="0" xfId="0" applyFont="1" applyFill="1" applyAlignment="1">
      <alignment/>
    </xf>
    <xf numFmtId="0" fontId="0" fillId="0" borderId="10" xfId="0" applyFill="1" applyBorder="1" applyAlignment="1">
      <alignment/>
    </xf>
    <xf numFmtId="0" fontId="0" fillId="0" borderId="10" xfId="0" applyFont="1" applyFill="1" applyBorder="1" applyAlignment="1">
      <alignment/>
    </xf>
    <xf numFmtId="0" fontId="78" fillId="0" borderId="0" xfId="0" applyFont="1" applyFill="1" applyBorder="1" applyAlignment="1">
      <alignment/>
    </xf>
    <xf numFmtId="164" fontId="0" fillId="0" borderId="0" xfId="42" applyNumberFormat="1" applyFont="1" applyFill="1" applyBorder="1" applyAlignment="1">
      <alignment/>
    </xf>
    <xf numFmtId="3" fontId="2" fillId="0" borderId="0" xfId="0" applyNumberFormat="1" applyFont="1" applyFill="1" applyAlignment="1">
      <alignment/>
    </xf>
    <xf numFmtId="0" fontId="84" fillId="0" borderId="0" xfId="0" applyFont="1" applyFill="1" applyAlignment="1">
      <alignment/>
    </xf>
    <xf numFmtId="1" fontId="2" fillId="0" borderId="0" xfId="0" applyNumberFormat="1" applyFont="1" applyFill="1" applyAlignment="1">
      <alignment/>
    </xf>
    <xf numFmtId="9" fontId="0" fillId="0" borderId="0" xfId="0" applyNumberFormat="1" applyAlignment="1">
      <alignment/>
    </xf>
    <xf numFmtId="0" fontId="0" fillId="0" borderId="24" xfId="0" applyBorder="1" applyAlignment="1">
      <alignment horizontal="left" vertical="top"/>
    </xf>
    <xf numFmtId="0" fontId="0" fillId="39" borderId="27" xfId="0" applyFont="1" applyFill="1" applyBorder="1" applyAlignment="1">
      <alignment horizontal="center" vertical="center" wrapText="1"/>
    </xf>
    <xf numFmtId="0" fontId="0" fillId="39" borderId="24" xfId="0" applyFill="1" applyBorder="1" applyAlignment="1">
      <alignment horizontal="center" vertical="center" wrapText="1"/>
    </xf>
    <xf numFmtId="164" fontId="0" fillId="0" borderId="0" xfId="42" applyNumberFormat="1" applyFont="1" applyAlignment="1">
      <alignment vertical="top"/>
    </xf>
    <xf numFmtId="164" fontId="0" fillId="0" borderId="12" xfId="42" applyNumberFormat="1" applyFont="1" applyBorder="1" applyAlignment="1">
      <alignment/>
    </xf>
    <xf numFmtId="164" fontId="84" fillId="0" borderId="0" xfId="0" applyNumberFormat="1" applyFont="1" applyAlignment="1">
      <alignment/>
    </xf>
    <xf numFmtId="164" fontId="0" fillId="0" borderId="0" xfId="42" applyNumberFormat="1" applyFont="1" applyBorder="1" applyAlignment="1">
      <alignment horizontal="left" vertical="top"/>
    </xf>
    <xf numFmtId="164" fontId="0" fillId="0" borderId="0" xfId="42" applyNumberFormat="1" applyFont="1" applyBorder="1" applyAlignment="1">
      <alignment horizontal="left" vertical="center"/>
    </xf>
    <xf numFmtId="0" fontId="86" fillId="0" borderId="0" xfId="42" applyNumberFormat="1" applyFont="1" applyFill="1" applyAlignment="1">
      <alignment/>
    </xf>
    <xf numFmtId="164" fontId="86" fillId="0" borderId="0" xfId="42" applyNumberFormat="1" applyFont="1" applyFill="1" applyAlignment="1">
      <alignment/>
    </xf>
    <xf numFmtId="0" fontId="0" fillId="0" borderId="0" xfId="42" applyNumberFormat="1" applyFont="1" applyFill="1" applyAlignment="1">
      <alignment/>
    </xf>
    <xf numFmtId="0" fontId="0" fillId="0" borderId="0" xfId="42" applyNumberFormat="1" applyFont="1" applyFill="1" applyAlignment="1">
      <alignment horizontal="right"/>
    </xf>
    <xf numFmtId="49" fontId="0" fillId="0" borderId="0" xfId="42" applyNumberFormat="1" applyFont="1" applyFill="1" applyAlignment="1">
      <alignment/>
    </xf>
    <xf numFmtId="49" fontId="86" fillId="0" borderId="0" xfId="42" applyNumberFormat="1" applyFont="1" applyFill="1" applyAlignment="1">
      <alignment vertical="top" wrapText="1"/>
    </xf>
    <xf numFmtId="164" fontId="0" fillId="0" borderId="0" xfId="0" applyNumberFormat="1" applyFont="1" applyFill="1" applyAlignment="1">
      <alignment/>
    </xf>
    <xf numFmtId="164" fontId="0" fillId="0" borderId="0" xfId="42" applyNumberFormat="1" applyFont="1" applyFill="1" applyAlignment="1">
      <alignment/>
    </xf>
    <xf numFmtId="0" fontId="0" fillId="0" borderId="0" xfId="0" applyFont="1" applyFill="1" applyAlignment="1">
      <alignment/>
    </xf>
    <xf numFmtId="2" fontId="0" fillId="0" borderId="0" xfId="0" applyNumberFormat="1" applyFont="1" applyFill="1" applyAlignment="1">
      <alignment/>
    </xf>
    <xf numFmtId="164" fontId="0" fillId="0" borderId="0" xfId="42" applyNumberFormat="1" applyFont="1" applyFill="1" applyAlignment="1">
      <alignment wrapText="1"/>
    </xf>
    <xf numFmtId="164" fontId="0" fillId="0" borderId="0" xfId="42" applyNumberFormat="1" applyFont="1" applyFill="1" applyAlignment="1">
      <alignment vertical="top" wrapText="1"/>
    </xf>
    <xf numFmtId="164" fontId="0" fillId="0" borderId="0" xfId="42" applyNumberFormat="1" applyFont="1" applyFill="1" applyAlignment="1">
      <alignment horizontal="left" indent="1"/>
    </xf>
    <xf numFmtId="0" fontId="0" fillId="0" borderId="24" xfId="0" applyBorder="1" applyAlignment="1">
      <alignment vertical="center"/>
    </xf>
    <xf numFmtId="170" fontId="0" fillId="0" borderId="0" xfId="0" applyNumberFormat="1" applyBorder="1" applyAlignment="1">
      <alignment/>
    </xf>
    <xf numFmtId="164" fontId="0" fillId="35" borderId="0" xfId="42" applyNumberFormat="1" applyFont="1" applyFill="1" applyAlignment="1">
      <alignment/>
    </xf>
    <xf numFmtId="0" fontId="0" fillId="35" borderId="0" xfId="0" applyFont="1" applyFill="1" applyAlignment="1">
      <alignment/>
    </xf>
    <xf numFmtId="0" fontId="0" fillId="35" borderId="0" xfId="0" applyFont="1" applyFill="1" applyBorder="1" applyAlignment="1">
      <alignment/>
    </xf>
    <xf numFmtId="164" fontId="2" fillId="35" borderId="0" xfId="42" applyNumberFormat="1" applyFont="1" applyFill="1" applyAlignment="1">
      <alignment/>
    </xf>
    <xf numFmtId="0" fontId="2" fillId="35" borderId="0" xfId="0" applyFont="1" applyFill="1" applyBorder="1" applyAlignment="1" quotePrefix="1">
      <alignment/>
    </xf>
    <xf numFmtId="0" fontId="0" fillId="0" borderId="0" xfId="0" applyBorder="1" applyAlignment="1">
      <alignment horizontal="right"/>
    </xf>
    <xf numFmtId="164" fontId="2" fillId="0" borderId="0" xfId="42" applyNumberFormat="1" applyFont="1" applyAlignment="1">
      <alignment wrapText="1"/>
    </xf>
    <xf numFmtId="0" fontId="2" fillId="0" borderId="0" xfId="0" applyFont="1" applyBorder="1" applyAlignment="1">
      <alignment horizontal="left" vertical="center"/>
    </xf>
    <xf numFmtId="164" fontId="0" fillId="33" borderId="0" xfId="0" applyNumberFormat="1" applyFont="1" applyFill="1" applyBorder="1" applyAlignment="1">
      <alignment/>
    </xf>
    <xf numFmtId="49" fontId="0" fillId="0" borderId="0" xfId="42" applyNumberFormat="1" applyFont="1" applyFill="1" applyAlignment="1">
      <alignment vertical="top" wrapText="1"/>
    </xf>
    <xf numFmtId="49" fontId="0" fillId="0" borderId="0" xfId="42" applyNumberFormat="1" applyFont="1" applyFill="1" applyAlignment="1">
      <alignment vertical="top"/>
    </xf>
    <xf numFmtId="0" fontId="0" fillId="33" borderId="0" xfId="0" applyFont="1" applyFill="1" applyAlignment="1">
      <alignment horizontal="right"/>
    </xf>
    <xf numFmtId="164" fontId="0" fillId="33" borderId="12" xfId="0" applyNumberFormat="1" applyFont="1" applyFill="1" applyBorder="1" applyAlignment="1">
      <alignment/>
    </xf>
    <xf numFmtId="43" fontId="0" fillId="33" borderId="0" xfId="0" applyNumberFormat="1" applyFont="1" applyFill="1" applyBorder="1" applyAlignment="1">
      <alignment/>
    </xf>
    <xf numFmtId="0" fontId="0" fillId="33" borderId="0" xfId="0" applyFont="1" applyFill="1" applyBorder="1" applyAlignment="1">
      <alignment horizontal="right"/>
    </xf>
    <xf numFmtId="0" fontId="2" fillId="0" borderId="24" xfId="0" applyFont="1" applyBorder="1" applyAlignment="1">
      <alignment horizontal="center" vertical="center"/>
    </xf>
    <xf numFmtId="164" fontId="0" fillId="0" borderId="30" xfId="42" applyNumberFormat="1" applyFont="1" applyFill="1" applyBorder="1" applyAlignment="1">
      <alignment/>
    </xf>
    <xf numFmtId="164" fontId="0" fillId="0" borderId="36" xfId="42" applyNumberFormat="1" applyFont="1" applyFill="1" applyBorder="1" applyAlignment="1">
      <alignment/>
    </xf>
    <xf numFmtId="0" fontId="0" fillId="35" borderId="0" xfId="0" applyFont="1" applyFill="1" applyAlignment="1">
      <alignment horizontal="left" indent="1"/>
    </xf>
    <xf numFmtId="0" fontId="0" fillId="35" borderId="0" xfId="0" applyFont="1" applyFill="1" applyBorder="1" applyAlignment="1">
      <alignment horizontal="left" indent="1"/>
    </xf>
    <xf numFmtId="0" fontId="0" fillId="35" borderId="0" xfId="0" applyFont="1" applyFill="1" applyAlignment="1">
      <alignment horizontal="right"/>
    </xf>
    <xf numFmtId="0" fontId="6" fillId="0" borderId="0" xfId="0" applyFont="1" applyBorder="1" applyAlignment="1">
      <alignment vertical="top" wrapText="1"/>
    </xf>
    <xf numFmtId="4" fontId="0" fillId="0" borderId="0" xfId="0" applyNumberFormat="1" applyBorder="1" applyAlignment="1">
      <alignment/>
    </xf>
    <xf numFmtId="0" fontId="74" fillId="0" borderId="0" xfId="0" applyFont="1" applyBorder="1" applyAlignment="1">
      <alignment horizontal="center" vertical="top"/>
    </xf>
    <xf numFmtId="0" fontId="0" fillId="0" borderId="0" xfId="0" applyBorder="1" applyAlignment="1">
      <alignment horizontal="center" vertical="top"/>
    </xf>
    <xf numFmtId="0" fontId="0" fillId="0" borderId="0" xfId="0" applyBorder="1" applyAlignment="1">
      <alignment horizontal="center" vertical="top" wrapText="1"/>
    </xf>
    <xf numFmtId="0" fontId="0" fillId="0" borderId="0" xfId="0" applyBorder="1" applyAlignment="1">
      <alignment horizontal="center" wrapText="1"/>
    </xf>
    <xf numFmtId="0" fontId="0" fillId="0" borderId="0" xfId="0" applyFont="1" applyBorder="1" applyAlignment="1">
      <alignment horizontal="center" wrapText="1"/>
    </xf>
    <xf numFmtId="3" fontId="0" fillId="0" borderId="0" xfId="0" applyNumberFormat="1" applyBorder="1" applyAlignment="1">
      <alignment horizontal="right"/>
    </xf>
    <xf numFmtId="0" fontId="74" fillId="0" borderId="0" xfId="0" applyFont="1" applyBorder="1" applyAlignment="1">
      <alignment vertical="top"/>
    </xf>
    <xf numFmtId="0" fontId="74" fillId="0" borderId="0" xfId="0" applyFont="1" applyBorder="1" applyAlignment="1">
      <alignment vertical="top" wrapText="1"/>
    </xf>
    <xf numFmtId="164" fontId="0" fillId="0" borderId="24" xfId="42" applyNumberFormat="1" applyFont="1" applyBorder="1" applyAlignment="1">
      <alignment horizontal="left" vertical="center" wrapText="1"/>
    </xf>
    <xf numFmtId="164" fontId="0" fillId="0" borderId="12" xfId="42" applyNumberFormat="1" applyFont="1" applyBorder="1" applyAlignment="1">
      <alignment/>
    </xf>
    <xf numFmtId="170" fontId="0" fillId="0" borderId="12" xfId="0" applyNumberFormat="1" applyBorder="1" applyAlignment="1">
      <alignment/>
    </xf>
    <xf numFmtId="0" fontId="0" fillId="0" borderId="12" xfId="0" applyFont="1" applyBorder="1" applyAlignment="1">
      <alignment horizontal="center"/>
    </xf>
    <xf numFmtId="3" fontId="0" fillId="0" borderId="0" xfId="0" applyNumberFormat="1" applyFont="1" applyFill="1" applyAlignment="1">
      <alignment/>
    </xf>
    <xf numFmtId="0" fontId="0" fillId="39" borderId="25" xfId="0" applyFont="1" applyFill="1" applyBorder="1" applyAlignment="1">
      <alignment vertical="center" wrapText="1"/>
    </xf>
    <xf numFmtId="0" fontId="0" fillId="0" borderId="24" xfId="0" applyFont="1" applyBorder="1" applyAlignment="1">
      <alignment/>
    </xf>
    <xf numFmtId="164" fontId="0" fillId="0" borderId="0" xfId="42" applyNumberFormat="1" applyFont="1" applyAlignment="1">
      <alignment horizontal="center" vertical="center"/>
    </xf>
    <xf numFmtId="0" fontId="0" fillId="0" borderId="12" xfId="42" applyNumberFormat="1" applyFont="1" applyBorder="1" applyAlignment="1">
      <alignment/>
    </xf>
    <xf numFmtId="0" fontId="2" fillId="0" borderId="24" xfId="0" applyFont="1" applyBorder="1" applyAlignment="1">
      <alignment/>
    </xf>
    <xf numFmtId="0" fontId="0" fillId="0" borderId="12" xfId="0" applyFont="1" applyBorder="1" applyAlignment="1">
      <alignment horizontal="left"/>
    </xf>
    <xf numFmtId="0" fontId="0" fillId="0" borderId="0" xfId="0" applyFont="1" applyBorder="1" applyAlignment="1">
      <alignment horizontal="left"/>
    </xf>
    <xf numFmtId="164" fontId="0" fillId="0" borderId="12" xfId="0" applyNumberFormat="1" applyBorder="1" applyAlignment="1">
      <alignment/>
    </xf>
    <xf numFmtId="164" fontId="2" fillId="0" borderId="12" xfId="0" applyNumberFormat="1" applyFont="1" applyBorder="1" applyAlignment="1">
      <alignment/>
    </xf>
    <xf numFmtId="167" fontId="0" fillId="0" borderId="0" xfId="0" applyNumberFormat="1" applyFont="1" applyAlignment="1">
      <alignment horizontal="left" vertical="top"/>
    </xf>
    <xf numFmtId="164" fontId="0" fillId="0" borderId="24" xfId="42" applyNumberFormat="1" applyFont="1" applyBorder="1" applyAlignment="1">
      <alignment/>
    </xf>
    <xf numFmtId="0" fontId="0" fillId="0" borderId="0" xfId="0" applyFont="1" applyBorder="1" applyAlignment="1">
      <alignment horizontal="left"/>
    </xf>
    <xf numFmtId="0" fontId="0" fillId="0" borderId="27" xfId="0" applyFont="1" applyBorder="1" applyAlignment="1">
      <alignment horizontal="center" vertical="center" wrapText="1"/>
    </xf>
    <xf numFmtId="164" fontId="0" fillId="0" borderId="0" xfId="42" applyNumberFormat="1" applyFont="1" applyAlignment="1">
      <alignment vertical="top" wrapText="1"/>
    </xf>
    <xf numFmtId="164" fontId="0" fillId="0" borderId="0" xfId="0" applyNumberFormat="1" applyFont="1" applyAlignment="1">
      <alignment vertical="top" wrapText="1"/>
    </xf>
    <xf numFmtId="0" fontId="0" fillId="0" borderId="0" xfId="0" applyFont="1" applyBorder="1" applyAlignment="1">
      <alignment horizontal="right" wrapText="1"/>
    </xf>
    <xf numFmtId="164" fontId="0" fillId="0" borderId="0" xfId="42" applyNumberFormat="1" applyFont="1" applyAlignment="1">
      <alignment vertical="top"/>
    </xf>
    <xf numFmtId="164" fontId="0" fillId="0" borderId="0" xfId="42" applyNumberFormat="1" applyFont="1" applyBorder="1" applyAlignment="1">
      <alignment vertical="top"/>
    </xf>
    <xf numFmtId="164" fontId="0" fillId="0" borderId="41" xfId="42" applyNumberFormat="1" applyFont="1" applyFill="1" applyBorder="1" applyAlignment="1">
      <alignment/>
    </xf>
    <xf numFmtId="43" fontId="0" fillId="0" borderId="0" xfId="42" applyNumberFormat="1" applyFont="1" applyAlignment="1">
      <alignment/>
    </xf>
    <xf numFmtId="0" fontId="0" fillId="0" borderId="0" xfId="0" applyFont="1" applyAlignment="1">
      <alignment vertical="top"/>
    </xf>
    <xf numFmtId="0" fontId="0" fillId="0" borderId="0" xfId="42" applyNumberFormat="1" applyFont="1" applyBorder="1" applyAlignment="1">
      <alignment/>
    </xf>
    <xf numFmtId="164" fontId="3" fillId="0" borderId="12" xfId="42" applyNumberFormat="1" applyFont="1" applyFill="1" applyBorder="1" applyAlignment="1">
      <alignment/>
    </xf>
    <xf numFmtId="0" fontId="2" fillId="0" borderId="30" xfId="0" applyFont="1" applyBorder="1" applyAlignment="1">
      <alignment vertical="center"/>
    </xf>
    <xf numFmtId="202" fontId="0" fillId="0" borderId="0" xfId="0" applyNumberFormat="1" applyAlignment="1">
      <alignment/>
    </xf>
    <xf numFmtId="169" fontId="0" fillId="0" borderId="0" xfId="0" applyNumberFormat="1" applyAlignment="1">
      <alignment/>
    </xf>
    <xf numFmtId="0" fontId="16" fillId="0" borderId="0" xfId="0" applyFont="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vertical="top" wrapText="1"/>
    </xf>
    <xf numFmtId="0" fontId="86" fillId="0" borderId="0" xfId="0" applyFont="1" applyAlignment="1">
      <alignment vertical="top" wrapText="1"/>
    </xf>
    <xf numFmtId="164" fontId="0" fillId="0" borderId="0" xfId="42" applyNumberFormat="1" applyFont="1" applyFill="1" applyAlignment="1">
      <alignment/>
    </xf>
    <xf numFmtId="0" fontId="2" fillId="0" borderId="0" xfId="0" applyFont="1" applyBorder="1" applyAlignment="1">
      <alignment/>
    </xf>
    <xf numFmtId="166" fontId="0" fillId="0" borderId="12" xfId="0" applyNumberFormat="1" applyBorder="1" applyAlignment="1">
      <alignment/>
    </xf>
    <xf numFmtId="43" fontId="0" fillId="0" borderId="0" xfId="42" applyNumberFormat="1" applyFont="1" applyFill="1" applyAlignment="1">
      <alignment/>
    </xf>
    <xf numFmtId="164" fontId="0" fillId="0" borderId="24" xfId="42" applyNumberFormat="1" applyFont="1" applyBorder="1" applyAlignment="1">
      <alignment horizontal="center" vertical="center"/>
    </xf>
    <xf numFmtId="164" fontId="0" fillId="0" borderId="11" xfId="42" applyNumberFormat="1" applyFont="1" applyBorder="1" applyAlignment="1">
      <alignment/>
    </xf>
    <xf numFmtId="0" fontId="4" fillId="0" borderId="0" xfId="0" applyFont="1" applyAlignment="1">
      <alignment/>
    </xf>
    <xf numFmtId="0" fontId="4" fillId="0" borderId="0" xfId="0" applyFont="1" applyBorder="1" applyAlignment="1">
      <alignment/>
    </xf>
    <xf numFmtId="164" fontId="0" fillId="0" borderId="0" xfId="42" applyNumberFormat="1" applyFont="1" applyFill="1" applyAlignment="1">
      <alignment/>
    </xf>
    <xf numFmtId="0" fontId="2" fillId="0" borderId="24" xfId="0" applyFont="1" applyBorder="1" applyAlignment="1">
      <alignment horizontal="center" vertical="top" wrapText="1"/>
    </xf>
    <xf numFmtId="164" fontId="0" fillId="0" borderId="0" xfId="42" applyNumberFormat="1" applyFont="1" applyFill="1" applyAlignment="1">
      <alignment/>
    </xf>
    <xf numFmtId="0" fontId="12" fillId="0" borderId="0" xfId="0" applyNumberFormat="1" applyFont="1" applyFill="1" applyAlignment="1">
      <alignment/>
    </xf>
    <xf numFmtId="164" fontId="0" fillId="0" borderId="0" xfId="42" applyNumberFormat="1" applyFont="1" applyFill="1" applyBorder="1" applyAlignment="1">
      <alignment/>
    </xf>
    <xf numFmtId="164" fontId="0" fillId="0" borderId="12" xfId="0" applyNumberFormat="1" applyFill="1" applyBorder="1" applyAlignment="1">
      <alignment/>
    </xf>
    <xf numFmtId="0" fontId="73" fillId="0" borderId="12" xfId="0" applyFont="1" applyFill="1" applyBorder="1" applyAlignment="1">
      <alignment/>
    </xf>
    <xf numFmtId="0" fontId="0" fillId="0" borderId="0" xfId="0" applyFill="1" applyAlignment="1">
      <alignment vertical="center"/>
    </xf>
    <xf numFmtId="166" fontId="0" fillId="0" borderId="0" xfId="42" applyNumberFormat="1" applyFont="1" applyFill="1" applyAlignment="1">
      <alignment vertical="center"/>
    </xf>
    <xf numFmtId="0" fontId="12" fillId="0" borderId="11" xfId="0" applyNumberFormat="1" applyFont="1" applyFill="1" applyBorder="1" applyAlignment="1">
      <alignment horizontal="left"/>
    </xf>
    <xf numFmtId="0" fontId="12" fillId="0" borderId="11" xfId="0" applyNumberFormat="1" applyFont="1" applyFill="1" applyBorder="1" applyAlignment="1">
      <alignment horizontal="center"/>
    </xf>
    <xf numFmtId="0" fontId="12" fillId="0" borderId="37" xfId="0" applyNumberFormat="1" applyFont="1" applyFill="1" applyBorder="1" applyAlignment="1">
      <alignment horizontal="center"/>
    </xf>
    <xf numFmtId="0" fontId="12" fillId="0" borderId="31" xfId="0" applyNumberFormat="1" applyFont="1" applyFill="1" applyBorder="1" applyAlignment="1">
      <alignment horizontal="left"/>
    </xf>
    <xf numFmtId="0" fontId="12" fillId="0" borderId="12" xfId="0" applyNumberFormat="1" applyFont="1" applyFill="1" applyBorder="1" applyAlignment="1">
      <alignment/>
    </xf>
    <xf numFmtId="0" fontId="12" fillId="0" borderId="12" xfId="0" applyNumberFormat="1" applyFont="1" applyFill="1" applyBorder="1" applyAlignment="1">
      <alignment horizontal="right"/>
    </xf>
    <xf numFmtId="0" fontId="12" fillId="0" borderId="26" xfId="0" applyNumberFormat="1" applyFont="1" applyFill="1" applyBorder="1" applyAlignment="1">
      <alignment horizontal="right"/>
    </xf>
    <xf numFmtId="0" fontId="12" fillId="0" borderId="32" xfId="0" applyNumberFormat="1" applyFont="1" applyFill="1" applyBorder="1" applyAlignment="1">
      <alignment horizontal="right"/>
    </xf>
    <xf numFmtId="0" fontId="12" fillId="0" borderId="0" xfId="0" applyNumberFormat="1" applyFont="1" applyFill="1" applyAlignment="1">
      <alignment horizontal="right"/>
    </xf>
    <xf numFmtId="0" fontId="12" fillId="0" borderId="28" xfId="0" applyNumberFormat="1" applyFont="1" applyFill="1" applyBorder="1" applyAlignment="1">
      <alignment horizontal="right"/>
    </xf>
    <xf numFmtId="0" fontId="12" fillId="0" borderId="14" xfId="0" applyNumberFormat="1" applyFont="1" applyFill="1" applyBorder="1" applyAlignment="1">
      <alignment horizontal="right"/>
    </xf>
    <xf numFmtId="0" fontId="12" fillId="0" borderId="11" xfId="0" applyNumberFormat="1" applyFont="1" applyFill="1" applyBorder="1" applyAlignment="1">
      <alignment/>
    </xf>
    <xf numFmtId="0" fontId="12" fillId="0" borderId="11" xfId="0" applyNumberFormat="1" applyFont="1" applyFill="1" applyBorder="1" applyAlignment="1">
      <alignment horizontal="right"/>
    </xf>
    <xf numFmtId="0" fontId="12" fillId="0" borderId="37" xfId="0" applyNumberFormat="1" applyFont="1" applyFill="1" applyBorder="1" applyAlignment="1">
      <alignment horizontal="right"/>
    </xf>
    <xf numFmtId="0" fontId="12" fillId="0" borderId="31" xfId="0" applyNumberFormat="1" applyFont="1" applyFill="1" applyBorder="1" applyAlignment="1">
      <alignment horizontal="right"/>
    </xf>
    <xf numFmtId="3" fontId="12" fillId="0" borderId="12" xfId="0" applyNumberFormat="1" applyFont="1" applyFill="1" applyBorder="1" applyAlignment="1">
      <alignment horizontal="right"/>
    </xf>
    <xf numFmtId="3" fontId="12" fillId="0" borderId="26" xfId="0" applyNumberFormat="1" applyFont="1" applyFill="1" applyBorder="1" applyAlignment="1">
      <alignment horizontal="right"/>
    </xf>
    <xf numFmtId="166" fontId="0" fillId="0" borderId="12" xfId="42" applyNumberFormat="1" applyFont="1" applyFill="1" applyBorder="1" applyAlignment="1">
      <alignment vertical="center"/>
    </xf>
    <xf numFmtId="0" fontId="0" fillId="0" borderId="28" xfId="0" applyNumberFormat="1" applyFont="1" applyFill="1" applyBorder="1" applyAlignment="1">
      <alignment wrapText="1"/>
    </xf>
    <xf numFmtId="3" fontId="12" fillId="0" borderId="14" xfId="0" applyNumberFormat="1" applyFont="1" applyFill="1" applyBorder="1" applyAlignment="1">
      <alignment horizontal="right"/>
    </xf>
    <xf numFmtId="3" fontId="12" fillId="0" borderId="0" xfId="0" applyNumberFormat="1" applyFont="1" applyFill="1" applyAlignment="1">
      <alignment horizontal="right"/>
    </xf>
    <xf numFmtId="3" fontId="12" fillId="0" borderId="28" xfId="0" applyNumberFormat="1" applyFont="1" applyFill="1" applyBorder="1" applyAlignment="1">
      <alignment horizontal="right"/>
    </xf>
    <xf numFmtId="3" fontId="12" fillId="0" borderId="11" xfId="0" applyNumberFormat="1" applyFont="1" applyFill="1" applyBorder="1" applyAlignment="1">
      <alignment horizontal="right"/>
    </xf>
    <xf numFmtId="3" fontId="12" fillId="0" borderId="31" xfId="0" applyNumberFormat="1" applyFont="1" applyFill="1" applyBorder="1" applyAlignment="1">
      <alignment horizontal="right"/>
    </xf>
    <xf numFmtId="3" fontId="12" fillId="0" borderId="32" xfId="0" applyNumberFormat="1" applyFont="1" applyFill="1" applyBorder="1" applyAlignment="1">
      <alignment horizontal="right"/>
    </xf>
    <xf numFmtId="3" fontId="12" fillId="0" borderId="37" xfId="0" applyNumberFormat="1" applyFont="1" applyFill="1" applyBorder="1" applyAlignment="1">
      <alignment horizontal="right"/>
    </xf>
    <xf numFmtId="3" fontId="0" fillId="0" borderId="0" xfId="0" applyNumberFormat="1" applyFill="1" applyAlignment="1">
      <alignment vertical="center"/>
    </xf>
    <xf numFmtId="0" fontId="12" fillId="0" borderId="0" xfId="0" applyNumberFormat="1" applyFont="1" applyFill="1" applyBorder="1" applyAlignment="1">
      <alignment/>
    </xf>
    <xf numFmtId="3" fontId="12" fillId="0" borderId="0" xfId="0" applyNumberFormat="1" applyFont="1" applyFill="1" applyBorder="1" applyAlignment="1">
      <alignment horizontal="right"/>
    </xf>
    <xf numFmtId="164" fontId="0" fillId="0" borderId="0" xfId="42" applyNumberFormat="1" applyFont="1" applyFill="1" applyAlignment="1">
      <alignment vertical="center"/>
    </xf>
    <xf numFmtId="3" fontId="18" fillId="0" borderId="0" xfId="0" applyNumberFormat="1" applyFont="1" applyFill="1" applyAlignment="1">
      <alignment horizontal="right"/>
    </xf>
    <xf numFmtId="201" fontId="14" fillId="0" borderId="0" xfId="44" applyNumberFormat="1" applyFont="1" applyFill="1" applyAlignment="1">
      <alignment horizontal="right"/>
    </xf>
    <xf numFmtId="166" fontId="12" fillId="0" borderId="0" xfId="42" applyNumberFormat="1" applyFont="1" applyFill="1" applyAlignment="1">
      <alignment/>
    </xf>
    <xf numFmtId="43" fontId="0" fillId="0" borderId="0" xfId="42" applyNumberFormat="1" applyFont="1" applyFill="1" applyAlignment="1">
      <alignment vertical="center"/>
    </xf>
    <xf numFmtId="0" fontId="78" fillId="0" borderId="24" xfId="0" applyFont="1" applyBorder="1" applyAlignment="1">
      <alignment horizontal="left"/>
    </xf>
    <xf numFmtId="164" fontId="78" fillId="0" borderId="24" xfId="42" applyNumberFormat="1" applyFont="1" applyBorder="1" applyAlignment="1">
      <alignment horizontal="right"/>
    </xf>
    <xf numFmtId="164" fontId="78" fillId="0" borderId="0" xfId="42" applyNumberFormat="1" applyFont="1" applyAlignment="1">
      <alignment/>
    </xf>
    <xf numFmtId="9" fontId="78" fillId="0" borderId="0" xfId="60" applyFont="1" applyAlignment="1">
      <alignment/>
    </xf>
    <xf numFmtId="0" fontId="78" fillId="0" borderId="12" xfId="0" applyFont="1" applyBorder="1" applyAlignment="1">
      <alignment/>
    </xf>
    <xf numFmtId="164" fontId="78" fillId="0" borderId="12" xfId="0" applyNumberFormat="1" applyFont="1" applyBorder="1" applyAlignment="1">
      <alignment/>
    </xf>
    <xf numFmtId="9" fontId="78" fillId="0" borderId="12" xfId="60" applyFont="1" applyBorder="1" applyAlignment="1">
      <alignment/>
    </xf>
    <xf numFmtId="0" fontId="78" fillId="0" borderId="0" xfId="42" applyNumberFormat="1" applyFont="1" applyAlignment="1">
      <alignment horizontal="left"/>
    </xf>
    <xf numFmtId="43" fontId="78" fillId="0" borderId="0" xfId="42" applyNumberFormat="1" applyFont="1" applyAlignment="1">
      <alignment/>
    </xf>
    <xf numFmtId="0" fontId="0" fillId="0" borderId="0" xfId="0" applyFont="1" applyFill="1" applyAlignment="1">
      <alignment horizontal="center"/>
    </xf>
    <xf numFmtId="0" fontId="0" fillId="0" borderId="27" xfId="0" applyFont="1" applyFill="1" applyBorder="1" applyAlignment="1">
      <alignment horizontal="center"/>
    </xf>
    <xf numFmtId="0" fontId="83" fillId="0" borderId="0" xfId="0" applyFont="1" applyAlignment="1">
      <alignment/>
    </xf>
    <xf numFmtId="164" fontId="78" fillId="0" borderId="12" xfId="42" applyNumberFormat="1" applyFont="1" applyBorder="1" applyAlignment="1">
      <alignment/>
    </xf>
    <xf numFmtId="0" fontId="78" fillId="0" borderId="12" xfId="0" applyFont="1" applyBorder="1" applyAlignment="1">
      <alignment horizontal="right"/>
    </xf>
    <xf numFmtId="1" fontId="78" fillId="0" borderId="0" xfId="0" applyNumberFormat="1" applyFont="1" applyAlignment="1">
      <alignment/>
    </xf>
    <xf numFmtId="0" fontId="78" fillId="0" borderId="0" xfId="0" applyFont="1" applyBorder="1" applyAlignment="1">
      <alignment/>
    </xf>
    <xf numFmtId="164" fontId="78" fillId="0" borderId="0" xfId="42" applyNumberFormat="1" applyFont="1" applyBorder="1" applyAlignment="1">
      <alignment/>
    </xf>
    <xf numFmtId="0" fontId="78" fillId="0" borderId="0" xfId="42" applyNumberFormat="1" applyFont="1" applyBorder="1" applyAlignment="1">
      <alignment/>
    </xf>
    <xf numFmtId="9" fontId="78" fillId="0" borderId="0" xfId="60" applyFont="1" applyBorder="1" applyAlignment="1">
      <alignment/>
    </xf>
    <xf numFmtId="2" fontId="1" fillId="0" borderId="14" xfId="0" applyNumberFormat="1" applyFont="1" applyFill="1" applyBorder="1" applyAlignment="1">
      <alignment horizontal="center" vertical="center" wrapText="1"/>
    </xf>
    <xf numFmtId="0" fontId="0" fillId="0" borderId="0" xfId="0" applyFont="1" applyFill="1" applyAlignment="1">
      <alignment horizontal="left" indent="1"/>
    </xf>
    <xf numFmtId="164" fontId="87" fillId="0" borderId="0" xfId="42" applyNumberFormat="1" applyFont="1" applyFill="1" applyAlignment="1">
      <alignment/>
    </xf>
    <xf numFmtId="0" fontId="78" fillId="0" borderId="24" xfId="0" applyFont="1" applyBorder="1" applyAlignment="1">
      <alignment horizontal="center" vertical="center" wrapText="1"/>
    </xf>
    <xf numFmtId="164" fontId="78" fillId="0" borderId="30" xfId="42" applyNumberFormat="1" applyFont="1" applyBorder="1" applyAlignment="1">
      <alignment horizontal="center" vertical="center" wrapText="1"/>
    </xf>
    <xf numFmtId="0" fontId="78" fillId="0" borderId="30" xfId="0" applyFont="1" applyBorder="1" applyAlignment="1">
      <alignment horizontal="center" vertical="center" wrapText="1"/>
    </xf>
    <xf numFmtId="164" fontId="78" fillId="0" borderId="24" xfId="42" applyNumberFormat="1" applyFont="1" applyBorder="1" applyAlignment="1">
      <alignment horizontal="center" vertical="center" wrapText="1"/>
    </xf>
    <xf numFmtId="164" fontId="0" fillId="0" borderId="13" xfId="42" applyNumberFormat="1" applyFont="1" applyBorder="1" applyAlignment="1">
      <alignment horizontal="center" vertical="center" wrapText="1"/>
    </xf>
    <xf numFmtId="3" fontId="2" fillId="0" borderId="0" xfId="0" applyNumberFormat="1" applyFont="1" applyFill="1" applyBorder="1" applyAlignment="1">
      <alignment vertical="center" wrapText="1"/>
    </xf>
    <xf numFmtId="164" fontId="0" fillId="0" borderId="53" xfId="42" applyNumberFormat="1" applyFont="1" applyFill="1" applyBorder="1" applyAlignment="1">
      <alignment/>
    </xf>
    <xf numFmtId="164" fontId="0" fillId="0" borderId="54" xfId="42" applyNumberFormat="1" applyFont="1" applyFill="1" applyBorder="1" applyAlignment="1">
      <alignment/>
    </xf>
    <xf numFmtId="43" fontId="0" fillId="0" borderId="0" xfId="0" applyNumberFormat="1" applyFont="1" applyBorder="1" applyAlignment="1">
      <alignment/>
    </xf>
    <xf numFmtId="3" fontId="79" fillId="0" borderId="0" xfId="0" applyNumberFormat="1" applyFont="1" applyBorder="1" applyAlignment="1">
      <alignment/>
    </xf>
    <xf numFmtId="164" fontId="79" fillId="0" borderId="0" xfId="42" applyNumberFormat="1" applyFont="1" applyFill="1" applyBorder="1" applyAlignment="1">
      <alignment/>
    </xf>
    <xf numFmtId="164" fontId="79" fillId="0" borderId="0" xfId="42" applyNumberFormat="1" applyFont="1" applyFill="1" applyAlignment="1">
      <alignment/>
    </xf>
    <xf numFmtId="3" fontId="79" fillId="0" borderId="0" xfId="0" applyNumberFormat="1" applyFont="1" applyFill="1" applyBorder="1" applyAlignment="1">
      <alignment/>
    </xf>
    <xf numFmtId="164" fontId="81" fillId="0" borderId="0" xfId="0" applyNumberFormat="1" applyFont="1" applyBorder="1" applyAlignment="1">
      <alignment horizontal="left"/>
    </xf>
    <xf numFmtId="0" fontId="79" fillId="0" borderId="0" xfId="0" applyFont="1" applyAlignment="1">
      <alignment/>
    </xf>
    <xf numFmtId="9" fontId="78" fillId="0" borderId="0" xfId="60" applyFont="1" applyAlignment="1">
      <alignment vertical="top"/>
    </xf>
    <xf numFmtId="0" fontId="12" fillId="0" borderId="0" xfId="0" applyFont="1" applyAlignment="1">
      <alignment horizontal="left"/>
    </xf>
    <xf numFmtId="0" fontId="0" fillId="0" borderId="24" xfId="0" applyFont="1" applyFill="1" applyBorder="1" applyAlignment="1">
      <alignment/>
    </xf>
    <xf numFmtId="166" fontId="0" fillId="0" borderId="12" xfId="42" applyNumberFormat="1" applyFont="1" applyBorder="1" applyAlignment="1">
      <alignment/>
    </xf>
    <xf numFmtId="0" fontId="0" fillId="0" borderId="0" xfId="0" applyFont="1" applyAlignment="1">
      <alignment vertical="center" wrapText="1"/>
    </xf>
    <xf numFmtId="43" fontId="0" fillId="0" borderId="0" xfId="0" applyNumberFormat="1" applyFont="1" applyAlignment="1">
      <alignment vertical="center" wrapText="1"/>
    </xf>
    <xf numFmtId="0" fontId="6" fillId="0" borderId="24" xfId="0" applyFont="1" applyFill="1"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166" fontId="0" fillId="0" borderId="30" xfId="42" applyNumberFormat="1" applyFont="1" applyFill="1" applyBorder="1" applyAlignment="1">
      <alignment/>
    </xf>
    <xf numFmtId="166" fontId="0" fillId="0" borderId="36" xfId="42" applyNumberFormat="1" applyFont="1" applyFill="1" applyBorder="1" applyAlignment="1">
      <alignment/>
    </xf>
    <xf numFmtId="166" fontId="0" fillId="0" borderId="38" xfId="42" applyNumberFormat="1" applyFont="1" applyFill="1" applyBorder="1" applyAlignment="1">
      <alignment/>
    </xf>
    <xf numFmtId="0" fontId="6" fillId="0" borderId="24" xfId="0" applyFont="1" applyFill="1" applyBorder="1" applyAlignment="1">
      <alignment horizontal="center" vertical="center"/>
    </xf>
    <xf numFmtId="0" fontId="6" fillId="0" borderId="0" xfId="0" applyFont="1" applyBorder="1" applyAlignment="1">
      <alignment horizontal="left"/>
    </xf>
    <xf numFmtId="0" fontId="0" fillId="0" borderId="24" xfId="0" applyFill="1" applyBorder="1" applyAlignment="1">
      <alignment/>
    </xf>
    <xf numFmtId="0" fontId="0" fillId="10" borderId="0" xfId="0" applyFill="1" applyAlignment="1">
      <alignment/>
    </xf>
    <xf numFmtId="0" fontId="0" fillId="0" borderId="0" xfId="0" applyFont="1" applyAlignment="1">
      <alignment vertical="center"/>
    </xf>
    <xf numFmtId="0" fontId="0" fillId="10" borderId="0" xfId="0" applyFont="1" applyFill="1" applyAlignment="1">
      <alignment/>
    </xf>
    <xf numFmtId="0" fontId="88" fillId="0" borderId="0" xfId="0" applyFont="1" applyAlignment="1">
      <alignment/>
    </xf>
    <xf numFmtId="3" fontId="0" fillId="10" borderId="0" xfId="0" applyNumberFormat="1" applyFill="1" applyAlignment="1">
      <alignment/>
    </xf>
    <xf numFmtId="0" fontId="88" fillId="0" borderId="0" xfId="0" applyFont="1" applyFill="1" applyAlignment="1">
      <alignment/>
    </xf>
    <xf numFmtId="0" fontId="1" fillId="0" borderId="24" xfId="0" applyFont="1" applyFill="1" applyBorder="1" applyAlignment="1">
      <alignment horizontal="center" vertical="center" wrapText="1"/>
    </xf>
    <xf numFmtId="2" fontId="0" fillId="0" borderId="12" xfId="0" applyNumberFormat="1" applyBorder="1" applyAlignment="1">
      <alignment/>
    </xf>
    <xf numFmtId="43" fontId="0" fillId="0" borderId="12" xfId="42" applyNumberFormat="1" applyFont="1" applyBorder="1" applyAlignment="1">
      <alignment/>
    </xf>
    <xf numFmtId="1" fontId="0" fillId="0" borderId="12" xfId="0" applyNumberFormat="1" applyBorder="1" applyAlignment="1">
      <alignment/>
    </xf>
    <xf numFmtId="0" fontId="0" fillId="0" borderId="37" xfId="0" applyFont="1" applyFill="1" applyBorder="1" applyAlignment="1">
      <alignment horizontal="center"/>
    </xf>
    <xf numFmtId="0" fontId="0" fillId="0" borderId="13" xfId="0" applyFont="1" applyFill="1" applyBorder="1" applyAlignment="1">
      <alignment horizontal="center"/>
    </xf>
    <xf numFmtId="0" fontId="0" fillId="0" borderId="32" xfId="0" applyFont="1" applyFill="1" applyBorder="1" applyAlignment="1">
      <alignment horizontal="center"/>
    </xf>
    <xf numFmtId="2" fontId="0" fillId="0" borderId="32" xfId="0" applyNumberFormat="1" applyFont="1" applyFill="1" applyBorder="1" applyAlignment="1">
      <alignment/>
    </xf>
    <xf numFmtId="1" fontId="0" fillId="0" borderId="26" xfId="0" applyNumberFormat="1" applyFont="1" applyFill="1" applyBorder="1" applyAlignment="1">
      <alignment/>
    </xf>
    <xf numFmtId="1" fontId="0" fillId="0" borderId="32" xfId="0" applyNumberFormat="1" applyFont="1" applyFill="1" applyBorder="1" applyAlignment="1">
      <alignment/>
    </xf>
    <xf numFmtId="3" fontId="0" fillId="0" borderId="26" xfId="0" applyNumberFormat="1" applyFont="1" applyFill="1" applyBorder="1" applyAlignment="1">
      <alignment/>
    </xf>
    <xf numFmtId="170" fontId="0" fillId="0" borderId="28" xfId="0" applyNumberFormat="1" applyFont="1" applyFill="1" applyBorder="1" applyAlignment="1">
      <alignment/>
    </xf>
    <xf numFmtId="1" fontId="0" fillId="0" borderId="28" xfId="0" applyNumberFormat="1" applyFont="1" applyFill="1" applyBorder="1" applyAlignment="1">
      <alignment/>
    </xf>
    <xf numFmtId="1" fontId="0" fillId="0" borderId="14" xfId="0" applyNumberFormat="1" applyFont="1" applyFill="1" applyBorder="1" applyAlignment="1">
      <alignment/>
    </xf>
    <xf numFmtId="2" fontId="0" fillId="0" borderId="31" xfId="0" applyNumberFormat="1" applyFont="1" applyFill="1" applyBorder="1" applyAlignment="1">
      <alignment/>
    </xf>
    <xf numFmtId="2" fontId="0" fillId="0" borderId="11" xfId="0" applyNumberFormat="1" applyFont="1" applyFill="1" applyBorder="1" applyAlignment="1">
      <alignment/>
    </xf>
    <xf numFmtId="1" fontId="0" fillId="0" borderId="37" xfId="0" applyNumberFormat="1" applyFont="1" applyFill="1" applyBorder="1" applyAlignment="1">
      <alignment/>
    </xf>
    <xf numFmtId="1" fontId="0" fillId="0" borderId="31" xfId="0" applyNumberFormat="1" applyFont="1" applyFill="1" applyBorder="1" applyAlignment="1">
      <alignment/>
    </xf>
    <xf numFmtId="164" fontId="0" fillId="0" borderId="37" xfId="42" applyNumberFormat="1" applyFont="1" applyFill="1" applyBorder="1" applyAlignment="1">
      <alignment/>
    </xf>
    <xf numFmtId="2" fontId="0" fillId="0" borderId="26" xfId="0" applyNumberFormat="1" applyFont="1" applyFill="1" applyBorder="1" applyAlignment="1">
      <alignment/>
    </xf>
    <xf numFmtId="9" fontId="0" fillId="0" borderId="26" xfId="60" applyFont="1" applyFill="1" applyBorder="1" applyAlignment="1">
      <alignment/>
    </xf>
    <xf numFmtId="0" fontId="0" fillId="0" borderId="26" xfId="0" applyFont="1" applyFill="1" applyBorder="1" applyAlignment="1">
      <alignment/>
    </xf>
    <xf numFmtId="169" fontId="0" fillId="0" borderId="0" xfId="0" applyNumberFormat="1" applyFont="1" applyFill="1" applyBorder="1" applyAlignment="1">
      <alignment/>
    </xf>
    <xf numFmtId="0" fontId="0" fillId="0" borderId="28" xfId="0" applyFont="1" applyFill="1" applyBorder="1" applyAlignment="1">
      <alignment horizontal="center"/>
    </xf>
    <xf numFmtId="0" fontId="0" fillId="0" borderId="55" xfId="0" applyFont="1" applyFill="1" applyBorder="1" applyAlignment="1">
      <alignment horizontal="center"/>
    </xf>
    <xf numFmtId="164" fontId="0" fillId="0" borderId="28" xfId="42" applyNumberFormat="1" applyFont="1" applyFill="1" applyBorder="1" applyAlignment="1">
      <alignment/>
    </xf>
    <xf numFmtId="164" fontId="0" fillId="0" borderId="14" xfId="42" applyNumberFormat="1" applyFont="1" applyFill="1" applyBorder="1" applyAlignment="1">
      <alignment/>
    </xf>
    <xf numFmtId="170" fontId="0" fillId="0" borderId="31" xfId="0" applyNumberFormat="1" applyFont="1" applyFill="1" applyBorder="1" applyAlignment="1">
      <alignment/>
    </xf>
    <xf numFmtId="164" fontId="0" fillId="0" borderId="31" xfId="42" applyNumberFormat="1" applyFont="1" applyFill="1" applyBorder="1" applyAlignment="1">
      <alignment/>
    </xf>
    <xf numFmtId="170" fontId="0" fillId="0" borderId="12" xfId="0" applyNumberFormat="1" applyFont="1" applyFill="1" applyBorder="1" applyAlignment="1">
      <alignment/>
    </xf>
    <xf numFmtId="0" fontId="0" fillId="0" borderId="32" xfId="0" applyFont="1" applyFill="1" applyBorder="1" applyAlignment="1">
      <alignment/>
    </xf>
    <xf numFmtId="164" fontId="0" fillId="0" borderId="32" xfId="0" applyNumberFormat="1" applyFont="1" applyFill="1" applyBorder="1" applyAlignment="1">
      <alignment/>
    </xf>
    <xf numFmtId="164" fontId="0" fillId="0" borderId="12" xfId="0" applyNumberFormat="1" applyFont="1" applyFill="1" applyBorder="1" applyAlignment="1">
      <alignment/>
    </xf>
    <xf numFmtId="177" fontId="0" fillId="0" borderId="0" xfId="0" applyNumberFormat="1" applyFont="1" applyFill="1" applyBorder="1" applyAlignment="1">
      <alignment/>
    </xf>
    <xf numFmtId="164" fontId="0" fillId="0" borderId="12" xfId="42" applyNumberFormat="1" applyFont="1" applyBorder="1" applyAlignment="1">
      <alignment/>
    </xf>
    <xf numFmtId="164" fontId="0" fillId="0" borderId="0" xfId="0" applyNumberFormat="1" applyFont="1" applyAlignment="1">
      <alignment/>
    </xf>
    <xf numFmtId="0" fontId="79" fillId="0" borderId="0" xfId="0" applyFont="1" applyAlignment="1">
      <alignment horizontal="left" indent="1"/>
    </xf>
    <xf numFmtId="3" fontId="79" fillId="0" borderId="0" xfId="0" applyNumberFormat="1" applyFont="1" applyAlignment="1">
      <alignment/>
    </xf>
    <xf numFmtId="0" fontId="0" fillId="0" borderId="0" xfId="0" applyFont="1" applyFill="1" applyAlignment="1">
      <alignment horizontal="left"/>
    </xf>
    <xf numFmtId="0" fontId="79" fillId="0" borderId="0" xfId="0" applyFont="1" applyBorder="1" applyAlignment="1">
      <alignment horizontal="left"/>
    </xf>
    <xf numFmtId="0" fontId="79" fillId="0" borderId="0" xfId="0" applyFont="1" applyFill="1" applyBorder="1" applyAlignment="1">
      <alignment horizontal="left"/>
    </xf>
    <xf numFmtId="0" fontId="2" fillId="0" borderId="24" xfId="0" applyFont="1" applyBorder="1" applyAlignment="1">
      <alignment horizontal="left" vertical="center" indent="1"/>
    </xf>
    <xf numFmtId="164" fontId="0" fillId="0" borderId="12" xfId="42" applyNumberFormat="1" applyFont="1" applyBorder="1" applyAlignment="1">
      <alignment horizontal="center" vertical="center" wrapText="1"/>
    </xf>
    <xf numFmtId="164" fontId="0" fillId="0" borderId="54" xfId="0" applyNumberFormat="1" applyFont="1" applyBorder="1" applyAlignment="1">
      <alignment/>
    </xf>
    <xf numFmtId="164" fontId="0" fillId="0" borderId="54" xfId="42" applyNumberFormat="1" applyFont="1" applyBorder="1" applyAlignment="1">
      <alignment vertical="center"/>
    </xf>
    <xf numFmtId="164" fontId="0" fillId="0" borderId="54" xfId="42" applyNumberFormat="1" applyFont="1" applyBorder="1" applyAlignment="1">
      <alignment/>
    </xf>
    <xf numFmtId="164" fontId="0" fillId="0" borderId="54" xfId="42" applyNumberFormat="1" applyFont="1" applyBorder="1" applyAlignment="1">
      <alignment/>
    </xf>
    <xf numFmtId="164" fontId="0" fillId="0" borderId="24" xfId="42" applyNumberFormat="1" applyFont="1" applyBorder="1" applyAlignment="1">
      <alignment horizontal="center" vertical="center" wrapText="1"/>
    </xf>
    <xf numFmtId="164" fontId="0" fillId="0" borderId="30" xfId="42" applyNumberFormat="1" applyFont="1" applyBorder="1" applyAlignment="1">
      <alignment vertical="center"/>
    </xf>
    <xf numFmtId="164" fontId="0" fillId="0" borderId="36" xfId="42" applyNumberFormat="1" applyFont="1" applyBorder="1" applyAlignment="1">
      <alignment vertical="center"/>
    </xf>
    <xf numFmtId="164" fontId="73" fillId="0" borderId="36" xfId="42" applyNumberFormat="1" applyFont="1" applyFill="1" applyBorder="1" applyAlignment="1">
      <alignment vertical="center"/>
    </xf>
    <xf numFmtId="164" fontId="0" fillId="0" borderId="38" xfId="42" applyNumberFormat="1" applyFont="1" applyFill="1" applyBorder="1" applyAlignment="1">
      <alignment vertical="center"/>
    </xf>
    <xf numFmtId="43" fontId="2" fillId="0" borderId="36" xfId="42" applyNumberFormat="1" applyFont="1" applyFill="1" applyBorder="1" applyAlignment="1">
      <alignment vertical="center"/>
    </xf>
    <xf numFmtId="0" fontId="0" fillId="39" borderId="24" xfId="0" applyFont="1" applyFill="1" applyBorder="1" applyAlignment="1">
      <alignment vertical="center" wrapText="1"/>
    </xf>
    <xf numFmtId="166" fontId="0" fillId="0" borderId="11" xfId="42" applyNumberFormat="1" applyFont="1" applyFill="1" applyBorder="1" applyAlignment="1">
      <alignment/>
    </xf>
    <xf numFmtId="0" fontId="0" fillId="0" borderId="0" xfId="0" applyFont="1" applyFill="1" applyAlignment="1">
      <alignment vertical="center"/>
    </xf>
    <xf numFmtId="0" fontId="3" fillId="0" borderId="0" xfId="0" applyFont="1" applyAlignment="1">
      <alignment horizontal="left" indent="1"/>
    </xf>
    <xf numFmtId="0" fontId="3" fillId="0" borderId="0" xfId="0" applyFont="1" applyAlignment="1">
      <alignment horizontal="left" indent="2"/>
    </xf>
    <xf numFmtId="9" fontId="0" fillId="0" borderId="0" xfId="60" applyFont="1" applyAlignment="1">
      <alignment/>
    </xf>
    <xf numFmtId="3" fontId="0" fillId="0" borderId="0" xfId="0" applyNumberFormat="1" applyFont="1" applyAlignment="1">
      <alignment horizontal="left" indent="1"/>
    </xf>
    <xf numFmtId="164" fontId="0" fillId="0" borderId="0" xfId="42" applyNumberFormat="1" applyFont="1" applyAlignment="1">
      <alignment horizontal="left" indent="1"/>
    </xf>
    <xf numFmtId="164" fontId="3" fillId="0" borderId="0" xfId="42" applyNumberFormat="1" applyFont="1" applyFill="1" applyAlignment="1">
      <alignment horizontal="left" vertical="center"/>
    </xf>
    <xf numFmtId="164" fontId="3" fillId="0" borderId="0" xfId="42" applyNumberFormat="1" applyFont="1" applyFill="1" applyBorder="1" applyAlignment="1">
      <alignment horizontal="left" vertical="center"/>
    </xf>
    <xf numFmtId="164" fontId="3" fillId="0" borderId="0" xfId="42" applyNumberFormat="1" applyFont="1" applyFill="1" applyBorder="1" applyAlignment="1">
      <alignment/>
    </xf>
    <xf numFmtId="164" fontId="3" fillId="0" borderId="0" xfId="42" applyNumberFormat="1" applyFont="1" applyFill="1" applyAlignment="1">
      <alignment horizontal="left" indent="1"/>
    </xf>
    <xf numFmtId="49" fontId="3" fillId="0" borderId="0" xfId="42" applyNumberFormat="1" applyFont="1" applyFill="1" applyAlignment="1">
      <alignment horizontal="left" indent="1"/>
    </xf>
    <xf numFmtId="164" fontId="72" fillId="0" borderId="0" xfId="42" applyNumberFormat="1" applyFont="1" applyFill="1" applyBorder="1" applyAlignment="1">
      <alignment/>
    </xf>
    <xf numFmtId="0" fontId="83" fillId="0" borderId="0" xfId="0" applyFont="1" applyFill="1" applyAlignment="1">
      <alignment/>
    </xf>
    <xf numFmtId="9" fontId="0" fillId="0" borderId="0" xfId="60" applyFont="1" applyFill="1" applyAlignment="1">
      <alignment horizontal="left"/>
    </xf>
    <xf numFmtId="164" fontId="73" fillId="35" borderId="0" xfId="42" applyNumberFormat="1" applyFont="1" applyFill="1" applyAlignment="1">
      <alignment horizontal="right"/>
    </xf>
    <xf numFmtId="164" fontId="0" fillId="35" borderId="0" xfId="42" applyNumberFormat="1" applyFont="1" applyFill="1" applyAlignment="1">
      <alignment horizontal="right"/>
    </xf>
    <xf numFmtId="164" fontId="0" fillId="35" borderId="0" xfId="42" applyNumberFormat="1" applyFont="1" applyFill="1" applyBorder="1" applyAlignment="1">
      <alignment/>
    </xf>
    <xf numFmtId="164" fontId="73" fillId="35" borderId="0" xfId="42" applyNumberFormat="1" applyFont="1" applyFill="1" applyBorder="1" applyAlignment="1">
      <alignment/>
    </xf>
    <xf numFmtId="164" fontId="0" fillId="35" borderId="0" xfId="42" applyNumberFormat="1" applyFont="1" applyFill="1" applyAlignment="1">
      <alignment/>
    </xf>
    <xf numFmtId="0" fontId="0" fillId="0" borderId="0" xfId="0" applyFont="1" applyFill="1" applyAlignment="1">
      <alignment/>
    </xf>
    <xf numFmtId="0" fontId="1" fillId="0" borderId="12" xfId="0" applyFont="1" applyBorder="1" applyAlignment="1">
      <alignment horizontal="center" vertical="center" wrapText="1"/>
    </xf>
    <xf numFmtId="43" fontId="1" fillId="0" borderId="12" xfId="42" applyFont="1" applyBorder="1" applyAlignment="1">
      <alignment horizontal="center" vertical="center" wrapText="1"/>
    </xf>
    <xf numFmtId="43" fontId="2" fillId="0" borderId="0" xfId="42" applyFont="1" applyAlignment="1">
      <alignment/>
    </xf>
    <xf numFmtId="43" fontId="2" fillId="0" borderId="0" xfId="42" applyFont="1" applyFill="1" applyAlignment="1">
      <alignment/>
    </xf>
    <xf numFmtId="43" fontId="0" fillId="0" borderId="0" xfId="42" applyFont="1" applyAlignment="1">
      <alignment horizontal="right"/>
    </xf>
    <xf numFmtId="43" fontId="79" fillId="0" borderId="0" xfId="42" applyFont="1" applyBorder="1" applyAlignment="1">
      <alignment/>
    </xf>
    <xf numFmtId="43" fontId="2" fillId="0" borderId="51" xfId="42" applyFont="1" applyFill="1" applyBorder="1" applyAlignment="1">
      <alignment horizontal="center"/>
    </xf>
    <xf numFmtId="43" fontId="0" fillId="0" borderId="0" xfId="42" applyFont="1" applyFill="1" applyBorder="1" applyAlignment="1">
      <alignment horizontal="right"/>
    </xf>
    <xf numFmtId="43" fontId="0" fillId="0" borderId="0" xfId="42" applyFont="1" applyFill="1" applyBorder="1" applyAlignment="1" quotePrefix="1">
      <alignment horizontal="right"/>
    </xf>
    <xf numFmtId="1" fontId="2" fillId="0" borderId="0" xfId="0" applyNumberFormat="1" applyFont="1" applyFill="1" applyBorder="1" applyAlignment="1">
      <alignment horizontal="right"/>
    </xf>
    <xf numFmtId="0" fontId="0" fillId="0" borderId="0" xfId="0" applyFont="1" applyAlignment="1">
      <alignment/>
    </xf>
    <xf numFmtId="0" fontId="1" fillId="0" borderId="0" xfId="0" applyFont="1" applyBorder="1" applyAlignment="1">
      <alignment horizontal="right" vertical="center" wrapText="1"/>
    </xf>
    <xf numFmtId="0" fontId="2" fillId="0" borderId="0" xfId="0" applyFont="1" applyFill="1" applyAlignment="1">
      <alignment horizontal="right"/>
    </xf>
    <xf numFmtId="43" fontId="89" fillId="0" borderId="0" xfId="42" applyFont="1" applyAlignment="1">
      <alignment/>
    </xf>
    <xf numFmtId="164" fontId="0" fillId="0" borderId="0" xfId="0" applyNumberFormat="1" applyFont="1" applyBorder="1" applyAlignment="1">
      <alignment horizontal="right"/>
    </xf>
    <xf numFmtId="0" fontId="0" fillId="0" borderId="0" xfId="0" applyFont="1" applyBorder="1" applyAlignment="1">
      <alignment horizontal="right"/>
    </xf>
    <xf numFmtId="43" fontId="54" fillId="0" borderId="0" xfId="42" applyFont="1" applyBorder="1" applyAlignment="1">
      <alignment/>
    </xf>
    <xf numFmtId="0" fontId="4" fillId="0" borderId="0" xfId="0" applyFont="1" applyFill="1" applyBorder="1" applyAlignment="1">
      <alignment vertical="center" wrapText="1"/>
    </xf>
    <xf numFmtId="167" fontId="73" fillId="0" borderId="0" xfId="0" applyNumberFormat="1" applyFont="1" applyBorder="1" applyAlignment="1">
      <alignment/>
    </xf>
    <xf numFmtId="0" fontId="73" fillId="0" borderId="0" xfId="0" applyFont="1" applyBorder="1" applyAlignment="1">
      <alignment horizontal="right"/>
    </xf>
    <xf numFmtId="164" fontId="2" fillId="0" borderId="0" xfId="42" applyNumberFormat="1" applyFont="1" applyBorder="1" applyAlignment="1">
      <alignment horizontal="center"/>
    </xf>
    <xf numFmtId="164" fontId="2" fillId="0" borderId="35" xfId="42" applyNumberFormat="1" applyFont="1" applyBorder="1" applyAlignment="1">
      <alignment/>
    </xf>
    <xf numFmtId="43" fontId="0" fillId="0" borderId="28" xfId="0" applyNumberFormat="1" applyFont="1" applyFill="1" applyBorder="1" applyAlignment="1">
      <alignment/>
    </xf>
    <xf numFmtId="167" fontId="0" fillId="0" borderId="0" xfId="0" applyNumberFormat="1" applyBorder="1" applyAlignment="1">
      <alignment vertical="top"/>
    </xf>
    <xf numFmtId="169" fontId="0" fillId="0" borderId="0" xfId="0" applyNumberFormat="1" applyFont="1" applyFill="1" applyBorder="1" applyAlignment="1" quotePrefix="1">
      <alignment/>
    </xf>
    <xf numFmtId="43" fontId="0" fillId="0" borderId="0" xfId="42" applyFont="1" applyFill="1" applyAlignment="1">
      <alignment vertical="center"/>
    </xf>
    <xf numFmtId="0" fontId="4" fillId="0" borderId="24"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43" fontId="0" fillId="0" borderId="0" xfId="42" applyNumberFormat="1" applyFont="1" applyAlignment="1">
      <alignment horizontal="right" vertical="center"/>
    </xf>
    <xf numFmtId="0" fontId="0" fillId="0" borderId="25" xfId="0" applyFont="1" applyBorder="1" applyAlignment="1">
      <alignment horizontal="center" vertical="center" wrapText="1"/>
    </xf>
    <xf numFmtId="43" fontId="0" fillId="0" borderId="0" xfId="42" applyFont="1" applyAlignment="1">
      <alignment horizontal="right" vertical="center"/>
    </xf>
    <xf numFmtId="0" fontId="0" fillId="0" borderId="24" xfId="0" applyBorder="1" applyAlignment="1">
      <alignment horizontal="center" vertical="center" wrapText="1"/>
    </xf>
    <xf numFmtId="43" fontId="1" fillId="0" borderId="24" xfId="42" applyFont="1" applyBorder="1" applyAlignment="1" quotePrefix="1">
      <alignment horizontal="center" vertical="center" wrapText="1"/>
    </xf>
    <xf numFmtId="43" fontId="0" fillId="0" borderId="24" xfId="42" applyFont="1" applyBorder="1" applyAlignment="1">
      <alignment horizontal="center" vertical="center" wrapText="1"/>
    </xf>
    <xf numFmtId="0" fontId="1" fillId="0" borderId="24" xfId="0" applyFont="1" applyBorder="1" applyAlignment="1" quotePrefix="1">
      <alignment horizontal="center" vertical="center" wrapText="1"/>
    </xf>
    <xf numFmtId="0" fontId="1" fillId="0" borderId="24"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 fillId="33" borderId="0" xfId="0" applyFont="1" applyFill="1" applyBorder="1" applyAlignment="1">
      <alignment horizontal="center" vertical="center" wrapText="1"/>
    </xf>
    <xf numFmtId="2" fontId="0" fillId="33" borderId="32" xfId="0" applyNumberFormat="1" applyFont="1" applyFill="1" applyBorder="1" applyAlignment="1">
      <alignment horizontal="center" vertical="center"/>
    </xf>
    <xf numFmtId="2" fontId="0" fillId="33" borderId="12" xfId="0" applyNumberFormat="1" applyFont="1" applyFill="1" applyBorder="1" applyAlignment="1">
      <alignment horizontal="center" vertical="center"/>
    </xf>
    <xf numFmtId="2" fontId="0" fillId="33" borderId="14" xfId="0" applyNumberFormat="1" applyFont="1" applyFill="1" applyBorder="1" applyAlignment="1">
      <alignment horizontal="center" vertical="center"/>
    </xf>
    <xf numFmtId="2" fontId="0" fillId="33" borderId="0" xfId="0" applyNumberFormat="1" applyFont="1" applyFill="1" applyBorder="1" applyAlignment="1">
      <alignment horizontal="center" vertical="center"/>
    </xf>
    <xf numFmtId="2" fontId="0" fillId="33" borderId="31" xfId="0" applyNumberFormat="1" applyFont="1" applyFill="1" applyBorder="1" applyAlignment="1">
      <alignment horizontal="center" vertical="center"/>
    </xf>
    <xf numFmtId="2" fontId="0" fillId="33" borderId="11" xfId="0" applyNumberFormat="1" applyFont="1" applyFill="1" applyBorder="1" applyAlignment="1">
      <alignment horizontal="center" vertical="center"/>
    </xf>
    <xf numFmtId="0" fontId="1" fillId="33" borderId="32"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37" xfId="0"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32" xfId="0" applyFont="1" applyFill="1" applyBorder="1" applyAlignment="1" quotePrefix="1">
      <alignment horizontal="center" vertical="center" wrapText="1"/>
    </xf>
    <xf numFmtId="0" fontId="1" fillId="33" borderId="25"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27"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2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quotePrefix="1">
      <alignment horizontal="center" vertical="center" wrapText="1"/>
    </xf>
    <xf numFmtId="0" fontId="1" fillId="0" borderId="32" xfId="0" applyFont="1" applyBorder="1" applyAlignment="1" quotePrefix="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0" fillId="0" borderId="11" xfId="0" applyBorder="1" applyAlignment="1">
      <alignment horizontal="center" vertical="center" wrapText="1"/>
    </xf>
    <xf numFmtId="2" fontId="0" fillId="0" borderId="32" xfId="0" applyNumberFormat="1" applyFont="1" applyFill="1" applyBorder="1" applyAlignment="1">
      <alignment horizontal="center" vertical="center"/>
    </xf>
    <xf numFmtId="2" fontId="0" fillId="0" borderId="26"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2" fontId="0" fillId="0" borderId="28" xfId="0" applyNumberFormat="1" applyFont="1" applyFill="1" applyBorder="1" applyAlignment="1">
      <alignment horizontal="center" vertical="center"/>
    </xf>
    <xf numFmtId="2" fontId="0" fillId="0" borderId="31" xfId="0" applyNumberFormat="1" applyFont="1" applyFill="1" applyBorder="1" applyAlignment="1">
      <alignment horizontal="center" vertical="center"/>
    </xf>
    <xf numFmtId="2" fontId="0" fillId="0" borderId="37" xfId="0" applyNumberFormat="1" applyFont="1" applyFill="1" applyBorder="1" applyAlignment="1">
      <alignment horizontal="center" vertical="center"/>
    </xf>
    <xf numFmtId="0" fontId="1" fillId="0" borderId="3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5" xfId="0" applyFont="1" applyBorder="1" applyAlignment="1">
      <alignment horizontal="center" vertical="center"/>
    </xf>
    <xf numFmtId="0" fontId="1" fillId="0" borderId="13" xfId="0" applyFont="1" applyBorder="1" applyAlignment="1">
      <alignment horizontal="center" vertical="center"/>
    </xf>
    <xf numFmtId="0" fontId="1" fillId="0" borderId="27" xfId="0" applyFont="1" applyBorder="1" applyAlignment="1">
      <alignment horizontal="center" vertical="center"/>
    </xf>
    <xf numFmtId="0" fontId="1" fillId="0" borderId="12" xfId="0" applyFont="1" applyBorder="1" applyAlignment="1" quotePrefix="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37" xfId="0" applyBorder="1" applyAlignment="1">
      <alignment horizontal="center" vertical="center" wrapText="1"/>
    </xf>
    <xf numFmtId="1" fontId="1" fillId="0" borderId="26" xfId="0" applyNumberFormat="1" applyFont="1" applyBorder="1" applyAlignment="1">
      <alignment horizontal="center" vertical="center" wrapText="1"/>
    </xf>
    <xf numFmtId="1" fontId="1" fillId="0" borderId="28" xfId="0" applyNumberFormat="1" applyFont="1" applyBorder="1" applyAlignment="1">
      <alignment horizontal="center" vertical="center" wrapText="1"/>
    </xf>
    <xf numFmtId="1" fontId="1" fillId="0" borderId="37" xfId="0" applyNumberFormat="1" applyFont="1" applyBorder="1" applyAlignment="1">
      <alignment horizontal="center" vertical="center" wrapText="1"/>
    </xf>
    <xf numFmtId="49" fontId="78" fillId="0" borderId="24" xfId="42" applyNumberFormat="1" applyFont="1" applyBorder="1" applyAlignment="1">
      <alignment horizontal="center" vertical="center" wrapText="1"/>
    </xf>
    <xf numFmtId="0" fontId="78" fillId="0" borderId="24" xfId="0" applyFont="1" applyBorder="1" applyAlignment="1">
      <alignment horizontal="center" vertical="center" wrapText="1"/>
    </xf>
    <xf numFmtId="0" fontId="0" fillId="0" borderId="3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7" xfId="0" applyFill="1" applyBorder="1" applyAlignment="1">
      <alignment horizontal="center" vertical="center" wrapText="1"/>
    </xf>
    <xf numFmtId="43" fontId="0" fillId="0" borderId="24" xfId="0" applyNumberFormat="1" applyBorder="1" applyAlignment="1">
      <alignment horizontal="center"/>
    </xf>
    <xf numFmtId="0" fontId="6" fillId="0" borderId="25" xfId="0" applyFont="1" applyFill="1" applyBorder="1" applyAlignment="1">
      <alignment horizontal="center" vertical="center" wrapText="1"/>
    </xf>
    <xf numFmtId="0" fontId="6" fillId="0" borderId="27" xfId="0" applyFont="1" applyFill="1" applyBorder="1" applyAlignment="1">
      <alignment horizontal="center" vertical="center" wrapText="1"/>
    </xf>
    <xf numFmtId="1" fontId="0" fillId="0" borderId="0" xfId="0" applyNumberFormat="1" applyFill="1" applyBorder="1" applyAlignment="1">
      <alignment horizontal="center"/>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27" xfId="0" applyFont="1" applyBorder="1" applyAlignment="1">
      <alignment horizontal="center" vertical="center"/>
    </xf>
    <xf numFmtId="2" fontId="0" fillId="0" borderId="32" xfId="0" applyNumberFormat="1" applyFont="1" applyFill="1" applyBorder="1" applyAlignment="1">
      <alignment horizontal="center" vertical="center" wrapText="1"/>
    </xf>
    <xf numFmtId="2" fontId="0" fillId="0" borderId="14" xfId="0" applyNumberFormat="1" applyFont="1" applyFill="1" applyBorder="1" applyAlignment="1">
      <alignment horizontal="center" vertical="center" wrapText="1"/>
    </xf>
    <xf numFmtId="2" fontId="0" fillId="0" borderId="31" xfId="0" applyNumberFormat="1" applyFont="1" applyFill="1" applyBorder="1" applyAlignment="1">
      <alignment horizontal="center" vertical="center" wrapText="1"/>
    </xf>
    <xf numFmtId="0" fontId="0" fillId="0" borderId="24" xfId="0" applyFont="1" applyBorder="1" applyAlignment="1">
      <alignment horizontal="center"/>
    </xf>
    <xf numFmtId="0" fontId="0" fillId="0" borderId="24" xfId="0" applyBorder="1" applyAlignment="1">
      <alignment horizontal="center"/>
    </xf>
    <xf numFmtId="0" fontId="0" fillId="0" borderId="2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xf>
    <xf numFmtId="0" fontId="0" fillId="0" borderId="27" xfId="0" applyFont="1" applyFill="1" applyBorder="1" applyAlignment="1">
      <alignment horizontal="center"/>
    </xf>
    <xf numFmtId="0" fontId="0" fillId="0" borderId="24" xfId="0" applyFont="1" applyFill="1" applyBorder="1" applyAlignment="1">
      <alignment horizontal="center"/>
    </xf>
    <xf numFmtId="0" fontId="0" fillId="0" borderId="27" xfId="0" applyFont="1" applyFill="1" applyBorder="1" applyAlignment="1">
      <alignment horizontal="center" vertical="center"/>
    </xf>
    <xf numFmtId="170" fontId="0" fillId="0" borderId="0" xfId="0" applyNumberFormat="1" applyFont="1" applyFill="1" applyBorder="1" applyAlignment="1">
      <alignment horizontal="center" vertical="center" wrapText="1"/>
    </xf>
    <xf numFmtId="170" fontId="0" fillId="0" borderId="32" xfId="0" applyNumberFormat="1" applyFont="1" applyFill="1" applyBorder="1" applyAlignment="1">
      <alignment horizontal="center" vertical="center" wrapText="1"/>
    </xf>
    <xf numFmtId="170" fontId="0" fillId="0" borderId="12" xfId="0" applyNumberFormat="1" applyFont="1" applyFill="1" applyBorder="1" applyAlignment="1">
      <alignment horizontal="center" vertical="center" wrapText="1"/>
    </xf>
    <xf numFmtId="170" fontId="0" fillId="0" borderId="14" xfId="0" applyNumberFormat="1" applyFont="1" applyFill="1" applyBorder="1" applyAlignment="1">
      <alignment horizontal="center" vertical="center" wrapText="1"/>
    </xf>
    <xf numFmtId="170" fontId="0" fillId="0" borderId="31" xfId="0" applyNumberFormat="1" applyFont="1" applyFill="1" applyBorder="1" applyAlignment="1">
      <alignment horizontal="center" vertical="center" wrapText="1"/>
    </xf>
    <xf numFmtId="170" fontId="0" fillId="0" borderId="11" xfId="0" applyNumberFormat="1" applyFont="1" applyFill="1" applyBorder="1" applyAlignment="1">
      <alignment horizontal="center" vertical="center" wrapText="1"/>
    </xf>
    <xf numFmtId="170" fontId="0" fillId="0" borderId="26" xfId="0" applyNumberFormat="1" applyFont="1" applyFill="1" applyBorder="1" applyAlignment="1">
      <alignment horizontal="center" vertical="center" wrapText="1"/>
    </xf>
    <xf numFmtId="170" fontId="0" fillId="0" borderId="28" xfId="0" applyNumberFormat="1" applyFont="1" applyFill="1" applyBorder="1" applyAlignment="1">
      <alignment horizontal="center" vertical="center" wrapText="1"/>
    </xf>
    <xf numFmtId="170" fontId="0" fillId="0" borderId="37" xfId="0" applyNumberFormat="1" applyFont="1" applyFill="1" applyBorder="1" applyAlignment="1">
      <alignment horizontal="center" vertical="center" wrapText="1"/>
    </xf>
    <xf numFmtId="170" fontId="0" fillId="0" borderId="25" xfId="0" applyNumberFormat="1" applyFont="1" applyFill="1" applyBorder="1" applyAlignment="1">
      <alignment horizontal="center" vertical="center"/>
    </xf>
    <xf numFmtId="170" fontId="0" fillId="0" borderId="13" xfId="0" applyNumberFormat="1" applyFont="1" applyFill="1" applyBorder="1" applyAlignment="1">
      <alignment horizontal="center" vertical="center"/>
    </xf>
    <xf numFmtId="170" fontId="0" fillId="0" borderId="27" xfId="0" applyNumberFormat="1" applyFont="1" applyFill="1" applyBorder="1" applyAlignment="1">
      <alignment horizontal="center" vertical="center"/>
    </xf>
    <xf numFmtId="170" fontId="0" fillId="0" borderId="32" xfId="0" applyNumberFormat="1" applyFont="1" applyFill="1" applyBorder="1" applyAlignment="1" quotePrefix="1">
      <alignment horizontal="center"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7" xfId="0" applyFont="1" applyFill="1" applyBorder="1" applyAlignment="1">
      <alignment horizontal="center" vertical="center" wrapText="1"/>
    </xf>
    <xf numFmtId="164" fontId="71" fillId="0" borderId="0" xfId="42" applyNumberFormat="1" applyFont="1" applyFill="1" applyAlignment="1">
      <alignment horizontal="left" vertical="top"/>
    </xf>
    <xf numFmtId="164" fontId="0" fillId="0" borderId="32" xfId="42" applyNumberFormat="1" applyFont="1" applyFill="1" applyBorder="1" applyAlignment="1">
      <alignment horizontal="center" vertical="center" wrapText="1"/>
    </xf>
    <xf numFmtId="164" fontId="0" fillId="0" borderId="26" xfId="42" applyNumberFormat="1" applyFont="1" applyFill="1" applyBorder="1" applyAlignment="1">
      <alignment horizontal="center" vertical="center" wrapText="1"/>
    </xf>
    <xf numFmtId="164" fontId="0" fillId="0" borderId="14" xfId="42" applyNumberFormat="1" applyFont="1" applyFill="1" applyBorder="1" applyAlignment="1">
      <alignment horizontal="center" vertical="center" wrapText="1"/>
    </xf>
    <xf numFmtId="164" fontId="0" fillId="0" borderId="28" xfId="42" applyNumberFormat="1" applyFont="1" applyFill="1" applyBorder="1" applyAlignment="1">
      <alignment horizontal="center" vertical="center" wrapText="1"/>
    </xf>
    <xf numFmtId="164" fontId="0" fillId="0" borderId="31" xfId="42" applyNumberFormat="1" applyFont="1" applyFill="1" applyBorder="1" applyAlignment="1">
      <alignment horizontal="center" vertical="center" wrapText="1"/>
    </xf>
    <xf numFmtId="164" fontId="0" fillId="0" borderId="37" xfId="42"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Border="1" applyAlignment="1" quotePrefix="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 xfId="0" applyFont="1" applyBorder="1" applyAlignment="1">
      <alignment horizontal="center" vertical="center" wrapText="1"/>
    </xf>
    <xf numFmtId="9" fontId="0" fillId="0" borderId="30" xfId="60" applyFont="1" applyFill="1" applyBorder="1" applyAlignment="1">
      <alignment horizontal="center" vertical="center" wrapText="1"/>
    </xf>
    <xf numFmtId="9" fontId="0" fillId="0" borderId="36" xfId="60" applyFont="1" applyFill="1" applyBorder="1" applyAlignment="1">
      <alignment horizontal="center" vertical="center" wrapText="1"/>
    </xf>
    <xf numFmtId="9" fontId="0" fillId="0" borderId="38" xfId="6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7" xfId="0" applyFont="1" applyBorder="1" applyAlignment="1">
      <alignment horizontal="center" vertical="center" wrapText="1"/>
    </xf>
    <xf numFmtId="164" fontId="0" fillId="0" borderId="25" xfId="42" applyNumberFormat="1" applyFont="1" applyFill="1" applyBorder="1" applyAlignment="1">
      <alignment horizontal="center" vertical="center" wrapText="1"/>
    </xf>
    <xf numFmtId="43" fontId="0" fillId="0" borderId="24" xfId="42" applyFont="1" applyFill="1" applyBorder="1" applyAlignment="1">
      <alignment horizontal="center" vertical="center" wrapText="1"/>
    </xf>
    <xf numFmtId="0" fontId="0" fillId="0" borderId="32" xfId="0" applyFont="1" applyFill="1" applyBorder="1" applyAlignment="1" quotePrefix="1">
      <alignment horizontal="center" vertical="center" wrapText="1"/>
    </xf>
    <xf numFmtId="0" fontId="0" fillId="0" borderId="25" xfId="0" applyFont="1" applyBorder="1" applyAlignment="1">
      <alignment horizontal="center"/>
    </xf>
    <xf numFmtId="0" fontId="0" fillId="0" borderId="13" xfId="0" applyFont="1" applyBorder="1" applyAlignment="1">
      <alignment horizontal="center"/>
    </xf>
    <xf numFmtId="0" fontId="0" fillId="0" borderId="27" xfId="0" applyFont="1" applyBorder="1" applyAlignment="1">
      <alignment horizontal="center"/>
    </xf>
    <xf numFmtId="164" fontId="0" fillId="0" borderId="12" xfId="42" applyNumberFormat="1" applyFont="1" applyBorder="1" applyAlignment="1">
      <alignment horizontal="center"/>
    </xf>
    <xf numFmtId="164" fontId="0" fillId="0" borderId="0" xfId="42" applyNumberFormat="1" applyFont="1" applyBorder="1" applyAlignment="1">
      <alignment horizontal="center"/>
    </xf>
    <xf numFmtId="0" fontId="0" fillId="0" borderId="24" xfId="0" applyFont="1" applyBorder="1" applyAlignment="1">
      <alignment horizontal="center"/>
    </xf>
    <xf numFmtId="164" fontId="0" fillId="0" borderId="0" xfId="42" applyNumberFormat="1" applyFont="1" applyFill="1" applyAlignment="1">
      <alignment horizontal="center"/>
    </xf>
    <xf numFmtId="9" fontId="0" fillId="0" borderId="0" xfId="60" applyNumberFormat="1" applyFont="1" applyFill="1" applyBorder="1" applyAlignment="1">
      <alignment horizontal="center" wrapText="1"/>
    </xf>
    <xf numFmtId="164" fontId="0" fillId="0" borderId="0" xfId="42" applyNumberFormat="1" applyFont="1" applyFill="1" applyAlignment="1">
      <alignment horizontal="center" wrapText="1"/>
    </xf>
    <xf numFmtId="0" fontId="0" fillId="0" borderId="0" xfId="0" applyFont="1" applyFill="1" applyAlignment="1">
      <alignment horizontal="center"/>
    </xf>
    <xf numFmtId="164" fontId="0" fillId="0" borderId="0" xfId="42" applyNumberFormat="1" applyFont="1" applyAlignment="1">
      <alignment horizontal="center"/>
    </xf>
    <xf numFmtId="0" fontId="0" fillId="0" borderId="13" xfId="0" applyBorder="1" applyAlignment="1">
      <alignment horizontal="center"/>
    </xf>
    <xf numFmtId="0" fontId="0" fillId="0" borderId="27" xfId="0" applyBorder="1" applyAlignment="1">
      <alignment horizont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alignment horizontal="center"/>
    </xf>
    <xf numFmtId="0" fontId="0" fillId="0" borderId="13" xfId="0" applyBorder="1" applyAlignment="1">
      <alignment horizontal="center" vertical="center" wrapText="1"/>
    </xf>
    <xf numFmtId="0" fontId="0" fillId="0" borderId="30" xfId="0" applyBorder="1" applyAlignment="1">
      <alignment horizontal="center" vertical="center"/>
    </xf>
    <xf numFmtId="0" fontId="0" fillId="0" borderId="38" xfId="0" applyBorder="1" applyAlignment="1">
      <alignment horizontal="center" vertical="center"/>
    </xf>
    <xf numFmtId="0" fontId="0" fillId="0" borderId="30" xfId="0" applyFont="1" applyBorder="1" applyAlignment="1">
      <alignment horizontal="center" vertical="center"/>
    </xf>
    <xf numFmtId="0" fontId="0" fillId="39" borderId="25" xfId="0" applyFont="1" applyFill="1" applyBorder="1" applyAlignment="1">
      <alignment horizontal="center" vertical="center" wrapText="1"/>
    </xf>
    <xf numFmtId="0" fontId="0" fillId="39" borderId="13" xfId="0" applyFill="1" applyBorder="1" applyAlignment="1">
      <alignment horizontal="center" vertical="center" wrapText="1"/>
    </xf>
    <xf numFmtId="0" fontId="0" fillId="39" borderId="27" xfId="0" applyFill="1" applyBorder="1" applyAlignment="1">
      <alignment horizontal="center" vertical="center" wrapText="1"/>
    </xf>
    <xf numFmtId="0" fontId="2" fillId="0" borderId="13" xfId="0" applyFont="1" applyBorder="1" applyAlignment="1">
      <alignment horizontal="center"/>
    </xf>
    <xf numFmtId="0" fontId="2" fillId="0" borderId="27" xfId="0" applyFont="1" applyBorder="1" applyAlignment="1">
      <alignment horizontal="center"/>
    </xf>
    <xf numFmtId="0" fontId="2" fillId="0" borderId="25" xfId="0" applyFont="1" applyBorder="1" applyAlignment="1">
      <alignment horizontal="center"/>
    </xf>
    <xf numFmtId="0" fontId="0" fillId="0" borderId="24" xfId="0" applyBorder="1" applyAlignment="1">
      <alignment horizontal="center" wrapText="1"/>
    </xf>
    <xf numFmtId="0" fontId="0" fillId="0" borderId="25" xfId="0" applyFont="1" applyBorder="1" applyAlignment="1">
      <alignment horizontal="center"/>
    </xf>
    <xf numFmtId="0" fontId="0" fillId="0" borderId="13" xfId="0" applyFont="1" applyBorder="1" applyAlignment="1">
      <alignment horizontal="center"/>
    </xf>
    <xf numFmtId="0" fontId="0" fillId="0" borderId="27" xfId="0" applyFont="1" applyBorder="1" applyAlignment="1">
      <alignment horizontal="center"/>
    </xf>
    <xf numFmtId="164" fontId="0" fillId="0" borderId="0" xfId="42" applyNumberFormat="1" applyFont="1" applyAlignment="1">
      <alignment horizontal="center" vertical="top"/>
    </xf>
    <xf numFmtId="164" fontId="0" fillId="0" borderId="0" xfId="42" applyNumberFormat="1" applyFont="1" applyBorder="1" applyAlignment="1">
      <alignment horizontal="center" vertical="top"/>
    </xf>
    <xf numFmtId="0" fontId="2" fillId="0" borderId="24" xfId="0" applyFont="1" applyBorder="1" applyAlignment="1">
      <alignment horizontal="center" vertical="top" wrapText="1"/>
    </xf>
    <xf numFmtId="0" fontId="78" fillId="0" borderId="0" xfId="0" applyFont="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wrapText="1"/>
    </xf>
    <xf numFmtId="0" fontId="0" fillId="0" borderId="24" xfId="0" applyFont="1" applyBorder="1" applyAlignment="1">
      <alignment horizontal="center" vertical="center"/>
    </xf>
    <xf numFmtId="0" fontId="0" fillId="0" borderId="32" xfId="0" applyFont="1" applyBorder="1" applyAlignment="1">
      <alignment horizontal="center"/>
    </xf>
    <xf numFmtId="0" fontId="0" fillId="0" borderId="26" xfId="0" applyFont="1" applyBorder="1" applyAlignment="1">
      <alignment horizontal="center"/>
    </xf>
    <xf numFmtId="0" fontId="0" fillId="0" borderId="14" xfId="0" applyFont="1" applyBorder="1" applyAlignment="1">
      <alignment horizontal="center"/>
    </xf>
    <xf numFmtId="0" fontId="0" fillId="0" borderId="28" xfId="0" applyFont="1" applyBorder="1" applyAlignment="1">
      <alignment horizontal="center"/>
    </xf>
    <xf numFmtId="0" fontId="0" fillId="0" borderId="25" xfId="0" applyFont="1" applyBorder="1" applyAlignment="1">
      <alignment horizontal="center" wrapText="1"/>
    </xf>
    <xf numFmtId="0" fontId="0" fillId="0" borderId="27" xfId="0" applyFont="1" applyBorder="1" applyAlignment="1">
      <alignment horizontal="center" wrapText="1"/>
    </xf>
    <xf numFmtId="1" fontId="6" fillId="0" borderId="14" xfId="0" applyNumberFormat="1" applyFont="1" applyBorder="1" applyAlignment="1">
      <alignment horizontal="center" vertical="center"/>
    </xf>
    <xf numFmtId="1" fontId="6" fillId="0" borderId="0" xfId="0" applyNumberFormat="1" applyFont="1" applyBorder="1" applyAlignment="1">
      <alignment horizontal="center" vertical="center"/>
    </xf>
    <xf numFmtId="1" fontId="6" fillId="0" borderId="28" xfId="0" applyNumberFormat="1" applyFont="1" applyBorder="1" applyAlignment="1">
      <alignment horizontal="center" vertical="center"/>
    </xf>
    <xf numFmtId="170" fontId="6" fillId="0" borderId="0" xfId="0" applyNumberFormat="1" applyFont="1" applyBorder="1" applyAlignment="1">
      <alignment horizontal="center" vertical="center"/>
    </xf>
    <xf numFmtId="0" fontId="0" fillId="0" borderId="24" xfId="0"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170" fontId="0" fillId="0" borderId="30" xfId="0" applyNumberFormat="1" applyFont="1" applyFill="1" applyBorder="1" applyAlignment="1" quotePrefix="1">
      <alignment horizontal="center" vertical="center"/>
    </xf>
    <xf numFmtId="170" fontId="0" fillId="0" borderId="36" xfId="0" applyNumberFormat="1" applyFont="1" applyFill="1" applyBorder="1" applyAlignment="1" quotePrefix="1">
      <alignment horizontal="center" vertical="center"/>
    </xf>
    <xf numFmtId="170" fontId="0" fillId="0" borderId="38" xfId="0" applyNumberFormat="1" applyFont="1" applyFill="1" applyBorder="1" applyAlignment="1" quotePrefix="1">
      <alignment horizontal="center" vertical="center"/>
    </xf>
    <xf numFmtId="170" fontId="0" fillId="0" borderId="30" xfId="0" applyNumberFormat="1" applyFont="1" applyFill="1" applyBorder="1" applyAlignment="1">
      <alignment horizontal="center" vertical="center" wrapText="1"/>
    </xf>
    <xf numFmtId="170" fontId="0" fillId="0" borderId="36" xfId="0" applyNumberFormat="1" applyFont="1" applyFill="1" applyBorder="1" applyAlignment="1">
      <alignment horizontal="center" vertical="center" wrapText="1"/>
    </xf>
    <xf numFmtId="170" fontId="0" fillId="0" borderId="38" xfId="0" applyNumberFormat="1" applyFont="1" applyFill="1" applyBorder="1" applyAlignment="1">
      <alignment horizontal="center" vertical="center" wrapText="1"/>
    </xf>
    <xf numFmtId="0" fontId="0" fillId="0" borderId="31" xfId="0" applyFont="1" applyFill="1" applyBorder="1" applyAlignment="1">
      <alignment horizontal="center" wrapText="1"/>
    </xf>
    <xf numFmtId="0" fontId="0" fillId="0" borderId="11" xfId="0" applyFont="1" applyFill="1" applyBorder="1" applyAlignment="1">
      <alignment horizontal="center" wrapText="1"/>
    </xf>
    <xf numFmtId="0" fontId="0" fillId="0" borderId="25" xfId="0" applyBorder="1" applyAlignment="1">
      <alignment horizontal="center" wrapText="1"/>
    </xf>
    <xf numFmtId="0" fontId="0" fillId="0" borderId="13" xfId="0"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talia\LOCALS~1\Temp\Omnivore'sDelight_13.12.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Grams"/>
      <sheetName val="Diet"/>
      <sheetName val="Ag Footprint"/>
      <sheetName val="Veg"/>
      <sheetName val="VegCurrent"/>
      <sheetName val="VegY"/>
      <sheetName val="Fruit"/>
      <sheetName val="FruitCurrent"/>
      <sheetName val="FruitY"/>
      <sheetName val="Grain"/>
      <sheetName val="GrainCurrent"/>
      <sheetName val="GrainY"/>
      <sheetName val="Dairy"/>
      <sheetName val="DairyCurrent"/>
      <sheetName val="Protein"/>
      <sheetName val="ProteinCurrent"/>
      <sheetName val="Nuts"/>
      <sheetName val="NutY"/>
      <sheetName val="Fat"/>
      <sheetName val="FatsCurrent"/>
      <sheetName val="OilsY"/>
      <sheetName val="Alcohol"/>
      <sheetName val="Sugars"/>
      <sheetName val="SugarsCurrent"/>
      <sheetName val="SugarY"/>
      <sheetName val="CoffeeTeaChoc"/>
      <sheetName val="Spices"/>
      <sheetName val="GlobalY"/>
      <sheetName val="Livestock"/>
      <sheetName val="Cattle"/>
      <sheetName val="Lamb"/>
      <sheetName val="Pigs"/>
      <sheetName val="Chickens"/>
      <sheetName val="Turkey"/>
      <sheetName val="Seafood"/>
    </sheetNames>
    <sheetDataSet>
      <sheetData sheetId="27">
        <row r="21">
          <cell r="C21">
            <v>7940.1265320634</v>
          </cell>
        </row>
        <row r="22">
          <cell r="C22">
            <v>10196.3583136892</v>
          </cell>
        </row>
        <row r="23">
          <cell r="C23">
            <v>12667.159174156</v>
          </cell>
        </row>
        <row r="24">
          <cell r="C24">
            <v>5947.8905526374</v>
          </cell>
        </row>
        <row r="25">
          <cell r="C25">
            <v>1592.0044252968</v>
          </cell>
        </row>
        <row r="29">
          <cell r="C29">
            <v>6691.8787224732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9.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0.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1.v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2.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3.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4.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5.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O79"/>
  <sheetViews>
    <sheetView zoomScalePageLayoutView="0" workbookViewId="0" topLeftCell="A1">
      <pane ySplit="6" topLeftCell="A25" activePane="bottomLeft" state="frozen"/>
      <selection pane="topLeft" activeCell="A1" sqref="A1"/>
      <selection pane="bottomLeft" activeCell="L2" sqref="L2"/>
    </sheetView>
  </sheetViews>
  <sheetFormatPr defaultColWidth="8.8515625" defaultRowHeight="12.75"/>
  <cols>
    <col min="1" max="1" width="36.7109375" style="33" customWidth="1"/>
    <col min="2" max="2" width="11.421875" style="33" bestFit="1" customWidth="1"/>
    <col min="3" max="3" width="9.140625" style="33" customWidth="1"/>
    <col min="4" max="4" width="1.7109375" style="33" customWidth="1"/>
    <col min="5" max="5" width="8.421875" style="33" customWidth="1"/>
    <col min="6" max="6" width="8.28125" style="33" customWidth="1"/>
    <col min="7" max="7" width="1.28515625" style="33" customWidth="1"/>
    <col min="8" max="8" width="10.8515625" style="33" customWidth="1"/>
    <col min="9" max="9" width="1.28515625" style="33" customWidth="1"/>
    <col min="10" max="11" width="8.8515625" style="33" customWidth="1"/>
    <col min="12" max="12" width="11.140625" style="33" customWidth="1"/>
    <col min="13" max="13" width="19.7109375" style="33" customWidth="1"/>
    <col min="14" max="16384" width="8.8515625" style="33" customWidth="1"/>
  </cols>
  <sheetData>
    <row r="1" s="46" customFormat="1" ht="15">
      <c r="A1" s="947" t="s">
        <v>1381</v>
      </c>
    </row>
    <row r="2" s="46" customFormat="1" ht="12.75">
      <c r="A2" s="46" t="s">
        <v>1380</v>
      </c>
    </row>
    <row r="3" s="46" customFormat="1" ht="12.75">
      <c r="A3" s="46" t="s">
        <v>1379</v>
      </c>
    </row>
    <row r="4" spans="4:9" ht="12.75">
      <c r="D4" s="46"/>
      <c r="E4" s="46" t="s">
        <v>187</v>
      </c>
      <c r="F4" s="46" t="s">
        <v>187</v>
      </c>
      <c r="G4" s="46"/>
      <c r="H4" s="46" t="s">
        <v>134</v>
      </c>
      <c r="I4" s="46"/>
    </row>
    <row r="5" spans="2:8" ht="12.75">
      <c r="B5" s="33" t="s">
        <v>18</v>
      </c>
      <c r="C5" s="33" t="s">
        <v>18</v>
      </c>
      <c r="D5" s="46"/>
      <c r="E5" s="46" t="s">
        <v>18</v>
      </c>
      <c r="F5" s="46" t="s">
        <v>18</v>
      </c>
      <c r="G5" s="46"/>
      <c r="H5" s="33" t="s">
        <v>186</v>
      </c>
    </row>
    <row r="6" spans="1:8" s="948" customFormat="1" ht="13.5" thickBot="1">
      <c r="A6" s="948" t="s">
        <v>0</v>
      </c>
      <c r="B6" s="948" t="s">
        <v>2</v>
      </c>
      <c r="C6" s="948" t="s">
        <v>1</v>
      </c>
      <c r="D6" s="949"/>
      <c r="E6" s="949" t="s">
        <v>2</v>
      </c>
      <c r="F6" s="949" t="s">
        <v>1</v>
      </c>
      <c r="G6" s="949"/>
      <c r="H6" s="948" t="s">
        <v>3</v>
      </c>
    </row>
    <row r="7" spans="1:13" ht="12.75">
      <c r="A7" s="33" t="s">
        <v>20</v>
      </c>
      <c r="B7" s="45"/>
      <c r="C7" s="305">
        <f>AgCensus!I10</f>
        <v>0.789</v>
      </c>
      <c r="F7" s="17">
        <f>H7-C7</f>
        <v>16.519942996387908</v>
      </c>
      <c r="G7" s="888"/>
      <c r="H7" s="406">
        <f>Veg!J9</f>
        <v>17.30894299638791</v>
      </c>
      <c r="I7" s="45"/>
      <c r="J7" s="33" t="s">
        <v>26</v>
      </c>
      <c r="M7" s="211"/>
    </row>
    <row r="8" spans="1:13" ht="12.75">
      <c r="A8" s="33" t="s">
        <v>21</v>
      </c>
      <c r="C8" s="178">
        <f>AgCensus!I29+(AgCensus!I44-AgCensus!I43)</f>
        <v>17.45800000000001</v>
      </c>
      <c r="F8" s="406">
        <f>H8-C8</f>
        <v>34.27077312422321</v>
      </c>
      <c r="G8" s="210"/>
      <c r="H8" s="406">
        <f>Veg!J12</f>
        <v>51.72877312422322</v>
      </c>
      <c r="J8" s="33" t="s">
        <v>23</v>
      </c>
      <c r="M8" s="211"/>
    </row>
    <row r="9" spans="1:10" ht="12.75">
      <c r="A9" s="46" t="s">
        <v>29</v>
      </c>
      <c r="C9" s="178">
        <f>AgCensus!I36</f>
        <v>7.636</v>
      </c>
      <c r="F9" s="406">
        <f>H9-C9</f>
        <v>60.3051170190737</v>
      </c>
      <c r="H9" s="406">
        <f>Veg!J10</f>
        <v>67.9411170190737</v>
      </c>
      <c r="J9" s="33" t="s">
        <v>25</v>
      </c>
    </row>
    <row r="10" spans="1:10" s="213" customFormat="1" ht="12.75">
      <c r="A10" s="213" t="s">
        <v>22</v>
      </c>
      <c r="C10" s="179">
        <f>AgCensus!I41</f>
        <v>75.707</v>
      </c>
      <c r="F10" s="406">
        <f>H10-C10</f>
        <v>13.136008766619739</v>
      </c>
      <c r="H10" s="874">
        <f>Veg!J11</f>
        <v>88.84300876661973</v>
      </c>
      <c r="J10" s="213" t="s">
        <v>24</v>
      </c>
    </row>
    <row r="11" spans="1:10" ht="12.75">
      <c r="A11" s="33" t="s">
        <v>27</v>
      </c>
      <c r="C11" s="45">
        <f>SUM(C7:C10)</f>
        <v>101.59</v>
      </c>
      <c r="F11" s="180">
        <f>SUM(F7:F10)</f>
        <v>124.23184190630457</v>
      </c>
      <c r="H11" s="45">
        <f>SUM(H7:H10)</f>
        <v>225.82184190630454</v>
      </c>
      <c r="I11" s="45"/>
      <c r="J11" s="46"/>
    </row>
    <row r="12" spans="2:8" ht="12.75">
      <c r="B12" s="45"/>
      <c r="H12" s="45"/>
    </row>
    <row r="13" spans="1:14" ht="12.75">
      <c r="A13" s="33" t="s">
        <v>5</v>
      </c>
      <c r="B13" s="45"/>
      <c r="C13" s="45">
        <f>AgCensus!I53+AgCensus!I54</f>
        <v>47.286</v>
      </c>
      <c r="F13" s="45"/>
      <c r="G13" s="45"/>
      <c r="H13" s="45">
        <f>Fruit!L12</f>
        <v>19.60851328676797</v>
      </c>
      <c r="I13" s="45"/>
      <c r="J13" s="46" t="s">
        <v>1375</v>
      </c>
      <c r="N13" s="211"/>
    </row>
    <row r="14" spans="1:14" ht="12.75">
      <c r="A14" s="33" t="s">
        <v>6</v>
      </c>
      <c r="B14" s="45"/>
      <c r="C14" s="45">
        <f>AgCensus!I55</f>
        <v>13.669</v>
      </c>
      <c r="F14" s="45"/>
      <c r="H14" s="45">
        <f>Fruit!L13</f>
        <v>2.073404672533594</v>
      </c>
      <c r="I14" s="45"/>
      <c r="J14" s="46" t="s">
        <v>1375</v>
      </c>
      <c r="N14" s="211"/>
    </row>
    <row r="15" spans="1:14" ht="12.75">
      <c r="A15" s="46" t="s">
        <v>169</v>
      </c>
      <c r="B15" s="45"/>
      <c r="C15" s="45">
        <f>AgCensus!I63</f>
        <v>15.286</v>
      </c>
      <c r="F15" s="45">
        <f aca="true" t="shared" si="0" ref="F15:F20">H15-C15</f>
        <v>49.232552134895016</v>
      </c>
      <c r="H15" s="45">
        <f>Fruit!L11</f>
        <v>64.51855213489502</v>
      </c>
      <c r="I15" s="45"/>
      <c r="N15" s="211"/>
    </row>
    <row r="16" spans="1:14" ht="12.75">
      <c r="A16" s="46" t="s">
        <v>1349</v>
      </c>
      <c r="B16" s="45"/>
      <c r="C16" s="45">
        <f>SUM(AgCensus!I64:I69)</f>
        <v>1.955</v>
      </c>
      <c r="F16" s="45">
        <f t="shared" si="0"/>
        <v>30.191543569204818</v>
      </c>
      <c r="H16" s="45">
        <f>Fruit!L15+Fruit!L16</f>
        <v>32.146543569204816</v>
      </c>
      <c r="I16" s="45"/>
      <c r="N16" s="211"/>
    </row>
    <row r="17" spans="1:14" ht="12.75">
      <c r="A17" s="46" t="s">
        <v>1348</v>
      </c>
      <c r="B17" s="45"/>
      <c r="C17" s="45">
        <f>AgCensus!I52+AgCensus!I61+SUM(AgCensus!I56:I58)+AgCensus!I70</f>
        <v>3.1950000000000003</v>
      </c>
      <c r="F17" s="45">
        <f t="shared" si="0"/>
        <v>55.507956589154524</v>
      </c>
      <c r="H17" s="45">
        <f>Fruit!L14+Fruit!L17+Fruit!L18</f>
        <v>58.702956589154525</v>
      </c>
      <c r="I17" s="45"/>
      <c r="N17" s="211"/>
    </row>
    <row r="18" spans="1:14" ht="12.75">
      <c r="A18" s="46" t="s">
        <v>510</v>
      </c>
      <c r="B18" s="45"/>
      <c r="F18" s="45">
        <f t="shared" si="0"/>
        <v>35.09963887785871</v>
      </c>
      <c r="G18" s="45"/>
      <c r="H18" s="45">
        <f>Fruit!L23</f>
        <v>35.09963887785871</v>
      </c>
      <c r="I18" s="45"/>
      <c r="N18" s="211"/>
    </row>
    <row r="19" spans="1:14" ht="12.75">
      <c r="A19" s="46" t="s">
        <v>511</v>
      </c>
      <c r="B19" s="45"/>
      <c r="C19" s="45"/>
      <c r="F19" s="45">
        <f t="shared" si="0"/>
        <v>41.323956208364166</v>
      </c>
      <c r="G19" s="17"/>
      <c r="H19" s="45">
        <f>Fruit!L22+Fruit!L26+Fruit!L27+Fruit!L29</f>
        <v>41.323956208364166</v>
      </c>
      <c r="I19" s="45"/>
      <c r="N19" s="211"/>
    </row>
    <row r="20" spans="1:14" ht="12.75">
      <c r="A20" s="46" t="s">
        <v>1347</v>
      </c>
      <c r="B20" s="45"/>
      <c r="C20" s="45"/>
      <c r="E20" s="46"/>
      <c r="F20" s="45">
        <f t="shared" si="0"/>
        <v>35.07781064346185</v>
      </c>
      <c r="G20" s="178"/>
      <c r="H20" s="45">
        <f>Fruit!L24+Fruit!L25+Fruit!L30+Fruit!L31</f>
        <v>35.07781064346185</v>
      </c>
      <c r="I20" s="45"/>
      <c r="N20" s="211"/>
    </row>
    <row r="21" spans="1:15" s="10" customFormat="1" ht="12.75">
      <c r="A21" s="10" t="s">
        <v>28</v>
      </c>
      <c r="B21" s="180"/>
      <c r="C21" s="180">
        <f>SUM(C13:C20)</f>
        <v>81.39099999999999</v>
      </c>
      <c r="F21" s="331">
        <f>SUM(F13:F20)</f>
        <v>246.4334580229391</v>
      </c>
      <c r="G21" s="331"/>
      <c r="H21" s="180">
        <f>SUM(H13:H20)</f>
        <v>288.5513759822407</v>
      </c>
      <c r="I21" s="180"/>
      <c r="J21" s="275"/>
      <c r="K21" s="180"/>
      <c r="O21" s="275"/>
    </row>
    <row r="22" spans="2:14" s="6" customFormat="1" ht="12.75">
      <c r="B22" s="35"/>
      <c r="C22" s="35"/>
      <c r="H22" s="35"/>
      <c r="I22" s="35"/>
      <c r="N22" s="215"/>
    </row>
    <row r="23" spans="1:13" ht="12.75">
      <c r="A23" s="46" t="s">
        <v>183</v>
      </c>
      <c r="B23" s="45"/>
      <c r="C23" s="305">
        <f>AgCensus!I46</f>
        <v>0.484</v>
      </c>
      <c r="D23" s="6"/>
      <c r="E23" s="6"/>
      <c r="F23" s="45">
        <f>H23-C23</f>
        <v>57.94804226293325</v>
      </c>
      <c r="G23" s="6"/>
      <c r="H23" s="35">
        <f>Veg!J13-C25</f>
        <v>58.43204226293325</v>
      </c>
      <c r="I23" s="35"/>
      <c r="J23" s="46"/>
      <c r="M23" s="211"/>
    </row>
    <row r="24" spans="1:13" ht="12.75">
      <c r="A24" s="188" t="s">
        <v>184</v>
      </c>
      <c r="B24" s="35"/>
      <c r="C24" s="764" t="s">
        <v>507</v>
      </c>
      <c r="D24" s="765"/>
      <c r="E24" s="765"/>
      <c r="F24" s="17">
        <v>0</v>
      </c>
      <c r="G24" s="765"/>
      <c r="H24" s="17">
        <v>0</v>
      </c>
      <c r="I24" s="35"/>
      <c r="J24" s="46"/>
      <c r="M24" s="211"/>
    </row>
    <row r="25" spans="1:13" s="6" customFormat="1" ht="12.75">
      <c r="A25" s="188" t="s">
        <v>465</v>
      </c>
      <c r="B25" s="35"/>
      <c r="C25" s="819">
        <f>AgCensus!I47</f>
        <v>3.318</v>
      </c>
      <c r="D25" s="764"/>
      <c r="E25" s="764"/>
      <c r="F25" s="17">
        <v>0</v>
      </c>
      <c r="G25" s="764"/>
      <c r="H25" s="819">
        <v>3.318</v>
      </c>
      <c r="I25" s="407"/>
      <c r="J25" s="188"/>
      <c r="M25" s="215"/>
    </row>
    <row r="26" spans="1:13" s="10" customFormat="1" ht="13.5" customHeight="1">
      <c r="A26" s="275" t="s">
        <v>185</v>
      </c>
      <c r="B26" s="180"/>
      <c r="C26" s="180">
        <f>SUM(C23:C25)</f>
        <v>3.802</v>
      </c>
      <c r="D26" s="180"/>
      <c r="E26" s="180"/>
      <c r="F26" s="180">
        <f>SUM(F23:F25)</f>
        <v>57.94804226293325</v>
      </c>
      <c r="G26" s="180">
        <f>SUM(G23:G25)</f>
        <v>0</v>
      </c>
      <c r="H26" s="180">
        <f>SUM(H23:H25)</f>
        <v>61.75004226293325</v>
      </c>
      <c r="I26" s="180"/>
      <c r="J26" s="275"/>
      <c r="M26" s="1060"/>
    </row>
    <row r="27" spans="2:9" ht="12.75">
      <c r="B27" s="45"/>
      <c r="C27" s="209"/>
      <c r="H27" s="45"/>
      <c r="I27" s="45"/>
    </row>
    <row r="28" spans="1:14" ht="12.75">
      <c r="A28" s="33" t="s">
        <v>1138</v>
      </c>
      <c r="B28" s="45"/>
      <c r="C28" s="17">
        <f>AgCensus!I75</f>
        <v>0.946</v>
      </c>
      <c r="D28" s="17"/>
      <c r="E28" s="17"/>
      <c r="F28" s="17">
        <f>H28-C28</f>
        <v>936.6354159887634</v>
      </c>
      <c r="G28" s="17"/>
      <c r="H28" s="17">
        <f>Grain!K8+Grain!K9</f>
        <v>937.5814159887634</v>
      </c>
      <c r="I28" s="45"/>
      <c r="N28" s="211"/>
    </row>
    <row r="29" spans="1:10" ht="12.75">
      <c r="A29" s="33" t="s">
        <v>140</v>
      </c>
      <c r="B29" s="45"/>
      <c r="C29" s="17">
        <f>AgCensus!I76</f>
        <v>14.902</v>
      </c>
      <c r="D29" s="17"/>
      <c r="E29" s="17"/>
      <c r="F29" s="17">
        <f>H29-C29</f>
        <v>42.776525174742105</v>
      </c>
      <c r="G29" s="17"/>
      <c r="H29" s="17">
        <f>Grain!K10</f>
        <v>57.678525174742106</v>
      </c>
      <c r="I29" s="45"/>
      <c r="J29" s="46" t="s">
        <v>1376</v>
      </c>
    </row>
    <row r="30" spans="1:10" ht="12.75">
      <c r="A30" s="33" t="s">
        <v>699</v>
      </c>
      <c r="B30" s="45"/>
      <c r="C30" s="17">
        <v>0</v>
      </c>
      <c r="D30" s="17"/>
      <c r="E30" s="17"/>
      <c r="F30" s="17">
        <f>H30-C30</f>
        <v>52.8284346475887</v>
      </c>
      <c r="G30" s="17"/>
      <c r="H30" s="17">
        <f>Grain!K11+Grain!K12</f>
        <v>52.8284346475887</v>
      </c>
      <c r="I30" s="45"/>
      <c r="J30" s="46"/>
    </row>
    <row r="31" spans="1:9" ht="12.75">
      <c r="A31" s="33" t="s">
        <v>701</v>
      </c>
      <c r="B31" s="45"/>
      <c r="C31" s="17">
        <f>AgCensus!I78</f>
        <v>27.417</v>
      </c>
      <c r="D31" s="17"/>
      <c r="E31" s="17"/>
      <c r="F31" s="17">
        <f>H31-C31</f>
        <v>68.23611643435223</v>
      </c>
      <c r="G31" s="17"/>
      <c r="H31" s="17">
        <f>Grain!K13</f>
        <v>95.65311643435223</v>
      </c>
      <c r="I31" s="45"/>
    </row>
    <row r="32" spans="1:10" s="213" customFormat="1" ht="12.75">
      <c r="A32" s="68" t="s">
        <v>1377</v>
      </c>
      <c r="B32" s="274"/>
      <c r="C32" s="405">
        <f>AgCensus!I79+AgCensus!I80</f>
        <v>17.49</v>
      </c>
      <c r="D32" s="405"/>
      <c r="E32" s="405"/>
      <c r="F32" s="405">
        <f>H32-C32</f>
        <v>194.72493461553398</v>
      </c>
      <c r="G32" s="405"/>
      <c r="H32" s="405">
        <f>Grain!K18</f>
        <v>212.214934615534</v>
      </c>
      <c r="I32" s="274"/>
      <c r="J32" s="68" t="s">
        <v>1378</v>
      </c>
    </row>
    <row r="33" spans="1:11" ht="12.75">
      <c r="A33" s="33" t="s">
        <v>14</v>
      </c>
      <c r="B33" s="45"/>
      <c r="C33" s="17">
        <f>SUM(C28:C32)</f>
        <v>60.754999999999995</v>
      </c>
      <c r="D33" s="17"/>
      <c r="E33" s="17"/>
      <c r="F33" s="17">
        <f>SUM(F28:F32)</f>
        <v>1295.2014268609805</v>
      </c>
      <c r="G33" s="17"/>
      <c r="H33" s="17">
        <f>SUM(H28:H32)</f>
        <v>1355.9564268609804</v>
      </c>
      <c r="I33" s="45"/>
      <c r="K33" s="45"/>
    </row>
    <row r="34" spans="2:13" ht="12.75">
      <c r="B34" s="45"/>
      <c r="C34" s="17"/>
      <c r="D34" s="17"/>
      <c r="E34" s="17"/>
      <c r="F34" s="17"/>
      <c r="G34" s="17"/>
      <c r="H34" s="17"/>
      <c r="I34" s="45"/>
      <c r="M34" s="211"/>
    </row>
    <row r="35" spans="1:13" ht="12.75">
      <c r="A35" s="46" t="s">
        <v>1143</v>
      </c>
      <c r="B35" s="45">
        <f>AgCensus!H106+AgCensus!H103</f>
        <v>452</v>
      </c>
      <c r="C35" s="17"/>
      <c r="D35" s="17"/>
      <c r="E35" s="17"/>
      <c r="F35" s="17">
        <v>0</v>
      </c>
      <c r="G35" s="17"/>
      <c r="H35" s="17">
        <v>452</v>
      </c>
      <c r="I35" s="45"/>
      <c r="M35" s="211"/>
    </row>
    <row r="36" spans="1:13" ht="12.75">
      <c r="A36" s="46" t="s">
        <v>1145</v>
      </c>
      <c r="B36" s="45"/>
      <c r="C36" s="17">
        <f>AgCensus!I91+AgCensus!I77+AgCensus!I82</f>
        <v>953.5480000000001</v>
      </c>
      <c r="D36" s="17"/>
      <c r="E36" s="17"/>
      <c r="F36" s="17">
        <f>H36-C36</f>
        <v>0</v>
      </c>
      <c r="G36" s="17"/>
      <c r="H36" s="17">
        <v>953.548</v>
      </c>
      <c r="I36" s="45"/>
      <c r="M36" s="211"/>
    </row>
    <row r="37" spans="1:13" ht="12.75">
      <c r="A37" s="46" t="s">
        <v>1146</v>
      </c>
      <c r="D37" s="17"/>
      <c r="E37" s="45"/>
      <c r="F37" s="17">
        <f>H37-C37</f>
        <v>820.7624017939024</v>
      </c>
      <c r="G37" s="17"/>
      <c r="H37" s="17">
        <f>Livestock!D5</f>
        <v>820.7624017939024</v>
      </c>
      <c r="I37" s="45"/>
      <c r="J37" s="406"/>
      <c r="M37" s="211"/>
    </row>
    <row r="38" spans="1:13" ht="12.75">
      <c r="A38" s="46" t="s">
        <v>1142</v>
      </c>
      <c r="D38" s="17"/>
      <c r="E38" s="45">
        <f>Livestock!E9</f>
        <v>3178.333406769402</v>
      </c>
      <c r="F38" s="17">
        <f>Livestock!F9</f>
        <v>3178.8654272744434</v>
      </c>
      <c r="G38" s="17"/>
      <c r="H38" s="17">
        <f>Livestock!E9+Livestock!F9</f>
        <v>6357.198834043846</v>
      </c>
      <c r="I38" s="45"/>
      <c r="J38" s="406"/>
      <c r="M38" s="211"/>
    </row>
    <row r="39" spans="1:13" ht="12.75">
      <c r="A39" s="46" t="s">
        <v>1144</v>
      </c>
      <c r="D39" s="17"/>
      <c r="F39" s="17">
        <f>H39-C39</f>
        <v>122.76169958763677</v>
      </c>
      <c r="G39" s="17"/>
      <c r="H39" s="17">
        <f>Livestock!F13</f>
        <v>122.76169958763677</v>
      </c>
      <c r="I39" s="45"/>
      <c r="J39" s="406"/>
      <c r="M39" s="211"/>
    </row>
    <row r="40" spans="1:10" s="10" customFormat="1" ht="12.75">
      <c r="A40" s="10" t="s">
        <v>17</v>
      </c>
      <c r="B40" s="409">
        <f>SUM(B35:B39)</f>
        <v>452</v>
      </c>
      <c r="C40" s="409">
        <f>SUM(C35:C39)</f>
        <v>953.5480000000001</v>
      </c>
      <c r="D40" s="409"/>
      <c r="E40" s="409">
        <f>SUM(E35:E39)</f>
        <v>3178.333406769402</v>
      </c>
      <c r="F40" s="409">
        <f>SUM(F35:F39)</f>
        <v>4122.389528655983</v>
      </c>
      <c r="G40" s="409">
        <f>SUM(G35:G39)</f>
        <v>0</v>
      </c>
      <c r="H40" s="409">
        <f>SUM(H35:H39)</f>
        <v>8706.270935425384</v>
      </c>
      <c r="I40" s="180"/>
      <c r="J40" s="1059"/>
    </row>
    <row r="41" spans="3:13" ht="12.75">
      <c r="C41" s="46"/>
      <c r="M41" s="211"/>
    </row>
    <row r="42" spans="1:12" ht="12.75">
      <c r="A42" s="33" t="s">
        <v>16</v>
      </c>
      <c r="B42" s="45"/>
      <c r="C42" s="440">
        <v>0</v>
      </c>
      <c r="F42" s="17">
        <f aca="true" t="shared" si="1" ref="F42:F49">H42-C42</f>
        <v>402.33129593562273</v>
      </c>
      <c r="G42" s="17"/>
      <c r="H42" s="17">
        <f>Livestock!G6+Livestock!H6</f>
        <v>402.33129593562273</v>
      </c>
      <c r="I42" s="45"/>
      <c r="J42" s="46"/>
      <c r="L42" s="406"/>
    </row>
    <row r="43" spans="1:14" ht="12.75">
      <c r="A43" s="46" t="s">
        <v>967</v>
      </c>
      <c r="B43" s="45"/>
      <c r="C43" s="440">
        <v>0</v>
      </c>
      <c r="F43" s="17">
        <f t="shared" si="1"/>
        <v>780.4393550261481</v>
      </c>
      <c r="G43" s="17"/>
      <c r="H43" s="17">
        <f>Livestock!G10+Livestock!H10</f>
        <v>780.4393550261481</v>
      </c>
      <c r="I43" s="45"/>
      <c r="J43" s="46"/>
      <c r="L43" s="406"/>
      <c r="N43" s="46"/>
    </row>
    <row r="44" spans="1:14" ht="12.75">
      <c r="A44" s="33" t="s">
        <v>10</v>
      </c>
      <c r="B44" s="45"/>
      <c r="C44" s="440">
        <v>0</v>
      </c>
      <c r="F44" s="17">
        <f t="shared" si="1"/>
        <v>55.91870099261151</v>
      </c>
      <c r="G44" s="17"/>
      <c r="H44" s="17">
        <f>Livestock!G14+Livestock!H14+Livestock!G16+Livestock!H16+Livestock!I16</f>
        <v>55.91870099261151</v>
      </c>
      <c r="I44" s="45"/>
      <c r="J44" s="46"/>
      <c r="L44" s="406"/>
      <c r="M44" s="46"/>
      <c r="N44" s="46"/>
    </row>
    <row r="45" spans="1:14" ht="12.75">
      <c r="A45" s="46" t="s">
        <v>682</v>
      </c>
      <c r="B45" s="45"/>
      <c r="C45" s="440">
        <v>0</v>
      </c>
      <c r="F45" s="17">
        <f t="shared" si="1"/>
        <v>38.30457592483321</v>
      </c>
      <c r="G45" s="17"/>
      <c r="H45" s="17">
        <f>Livestock!G36+Livestock!H36+Livestock!I36</f>
        <v>38.30457592483321</v>
      </c>
      <c r="I45" s="45"/>
      <c r="J45" s="46"/>
      <c r="M45" s="46"/>
      <c r="N45" s="46"/>
    </row>
    <row r="46" spans="1:14" ht="12.75">
      <c r="A46" s="46" t="s">
        <v>968</v>
      </c>
      <c r="B46" s="45"/>
      <c r="C46" s="440">
        <v>0</v>
      </c>
      <c r="F46" s="17">
        <f t="shared" si="1"/>
        <v>957.2244430529945</v>
      </c>
      <c r="G46" s="17"/>
      <c r="H46" s="17">
        <f>Livestock!J20</f>
        <v>957.2244430529945</v>
      </c>
      <c r="I46" s="45"/>
      <c r="J46" s="1014"/>
      <c r="N46" s="211"/>
    </row>
    <row r="47" spans="1:10" ht="12.75">
      <c r="A47" s="33" t="s">
        <v>11</v>
      </c>
      <c r="B47" s="45"/>
      <c r="C47" s="440">
        <v>0</v>
      </c>
      <c r="F47" s="17">
        <f t="shared" si="1"/>
        <v>319.38545022859137</v>
      </c>
      <c r="G47" s="17"/>
      <c r="H47" s="17">
        <f>Livestock!J26+Livestock!J27</f>
        <v>319.38545022859137</v>
      </c>
      <c r="I47" s="45"/>
      <c r="J47" s="46"/>
    </row>
    <row r="48" spans="1:10" ht="12.75">
      <c r="A48" s="33" t="s">
        <v>12</v>
      </c>
      <c r="C48" s="440">
        <v>0</v>
      </c>
      <c r="F48" s="17">
        <f t="shared" si="1"/>
        <v>950.185324477988</v>
      </c>
      <c r="G48" s="17"/>
      <c r="H48" s="17">
        <f>Livestock!J28+Livestock!J29</f>
        <v>950.185324477988</v>
      </c>
      <c r="J48" s="46"/>
    </row>
    <row r="49" spans="1:10" s="6" customFormat="1" ht="12.75">
      <c r="A49" s="6" t="s">
        <v>13</v>
      </c>
      <c r="B49" s="35"/>
      <c r="C49" s="440">
        <v>0</v>
      </c>
      <c r="F49" s="17">
        <f t="shared" si="1"/>
        <v>227.9429404762145</v>
      </c>
      <c r="G49" s="34"/>
      <c r="H49" s="17">
        <f>Livestock!J34</f>
        <v>227.9429404762145</v>
      </c>
      <c r="I49" s="35"/>
      <c r="J49" s="188"/>
    </row>
    <row r="50" spans="1:10" s="10" customFormat="1" ht="12.75">
      <c r="A50" s="10" t="s">
        <v>15</v>
      </c>
      <c r="C50" s="453">
        <f>SUM(C42:C49)</f>
        <v>0</v>
      </c>
      <c r="F50" s="409">
        <f>SUM(F42:F49)</f>
        <v>3731.7320861150038</v>
      </c>
      <c r="G50" s="409"/>
      <c r="H50" s="409">
        <f>SUM(H42:H49)</f>
        <v>3731.7320861150038</v>
      </c>
      <c r="I50" s="180"/>
      <c r="J50" s="1059"/>
    </row>
    <row r="51" spans="3:10" s="6" customFormat="1" ht="12.75">
      <c r="C51" s="35"/>
      <c r="H51" s="35"/>
      <c r="I51" s="35"/>
      <c r="J51" s="35"/>
    </row>
    <row r="52" spans="1:9" s="6" customFormat="1" ht="12.75">
      <c r="A52" s="325" t="s">
        <v>188</v>
      </c>
      <c r="C52" s="206">
        <f>AgCensus!I72</f>
        <v>0.151</v>
      </c>
      <c r="F52" s="34">
        <f>H52-C52</f>
        <v>36.084717285120114</v>
      </c>
      <c r="G52" s="807"/>
      <c r="H52" s="807">
        <f>Nuts!L14</f>
        <v>36.23571728512012</v>
      </c>
      <c r="I52" s="35"/>
    </row>
    <row r="53" spans="1:9" s="6" customFormat="1" ht="12.75">
      <c r="A53" s="325" t="s">
        <v>133</v>
      </c>
      <c r="C53" s="440">
        <v>0</v>
      </c>
      <c r="F53" s="34">
        <f>H53-C53</f>
        <v>34.89195928203074</v>
      </c>
      <c r="G53" s="807"/>
      <c r="H53" s="807">
        <f>Nuts!L15</f>
        <v>34.89195928203074</v>
      </c>
      <c r="I53" s="35"/>
    </row>
    <row r="54" spans="1:14" ht="12.75">
      <c r="A54" s="33" t="s">
        <v>8</v>
      </c>
      <c r="B54" s="45"/>
      <c r="C54" s="210">
        <f>AgCensus!I85</f>
        <v>1.364</v>
      </c>
      <c r="F54" s="34">
        <f>H54-C54</f>
        <v>131.24310906689774</v>
      </c>
      <c r="G54" s="853"/>
      <c r="H54" s="45">
        <f>Fats!J17</f>
        <v>132.60710906689775</v>
      </c>
      <c r="I54" s="45"/>
      <c r="J54" s="854"/>
      <c r="N54" s="211"/>
    </row>
    <row r="55" spans="1:14" s="6" customFormat="1" ht="12.75">
      <c r="A55" s="188" t="s">
        <v>9</v>
      </c>
      <c r="B55" s="35"/>
      <c r="C55" s="440">
        <v>0</v>
      </c>
      <c r="F55" s="34">
        <f>H55-C55</f>
        <v>411.2124994018027</v>
      </c>
      <c r="G55" s="235"/>
      <c r="H55" s="235">
        <f>Sugar!J15</f>
        <v>411.2124994018027</v>
      </c>
      <c r="I55" s="35"/>
      <c r="J55" s="950"/>
      <c r="N55" s="211"/>
    </row>
    <row r="56" spans="1:8" s="6" customFormat="1" ht="12.75">
      <c r="A56" s="188" t="s">
        <v>674</v>
      </c>
      <c r="C56" s="440">
        <v>0</v>
      </c>
      <c r="F56" s="34">
        <f>H56-C56</f>
        <v>568.6814148592185</v>
      </c>
      <c r="G56" s="334"/>
      <c r="H56" s="334">
        <f>CofTeaChoc!F10</f>
        <v>568.6814148592185</v>
      </c>
    </row>
    <row r="57" spans="1:14" s="6" customFormat="1" ht="12.75">
      <c r="A57" s="6" t="s">
        <v>7</v>
      </c>
      <c r="B57" s="35"/>
      <c r="C57" s="246">
        <v>0</v>
      </c>
      <c r="F57" s="34">
        <v>75</v>
      </c>
      <c r="H57" s="35">
        <v>75</v>
      </c>
      <c r="I57" s="35"/>
      <c r="N57" s="215"/>
    </row>
    <row r="58" spans="1:10" s="213" customFormat="1" ht="12.75">
      <c r="A58" s="213" t="s">
        <v>555</v>
      </c>
      <c r="C58" s="440">
        <v>0</v>
      </c>
      <c r="F58" s="1209">
        <f>H58-C58</f>
        <v>0.05275026052090864</v>
      </c>
      <c r="G58" s="808"/>
      <c r="H58" s="808">
        <f>Spices!I21/1000</f>
        <v>0.05275026052090864</v>
      </c>
      <c r="J58" s="68"/>
    </row>
    <row r="59" spans="1:10" s="6" customFormat="1" ht="12.75">
      <c r="A59" s="188" t="s">
        <v>670</v>
      </c>
      <c r="C59" s="873">
        <f>SUM(C52:C58)</f>
        <v>1.5150000000000001</v>
      </c>
      <c r="F59" s="951">
        <f>SUM(F52:F58)</f>
        <v>1257.1664501555906</v>
      </c>
      <c r="G59" s="951"/>
      <c r="H59" s="951">
        <f>SUM(H52:H58)</f>
        <v>1258.681450155591</v>
      </c>
      <c r="J59" s="188"/>
    </row>
    <row r="60" spans="1:10" s="6" customFormat="1" ht="12.75">
      <c r="A60" s="188"/>
      <c r="F60" s="616"/>
      <c r="G60" s="616"/>
      <c r="H60" s="951"/>
      <c r="J60" s="188"/>
    </row>
    <row r="61" spans="1:14" s="6" customFormat="1" ht="12.75">
      <c r="A61" s="325" t="s">
        <v>986</v>
      </c>
      <c r="B61" s="35"/>
      <c r="C61" s="34">
        <f>AgCensus!I93</f>
        <v>18.126</v>
      </c>
      <c r="H61" s="35">
        <v>18.126</v>
      </c>
      <c r="I61" s="35"/>
      <c r="J61" s="188" t="s">
        <v>673</v>
      </c>
      <c r="N61" s="215"/>
    </row>
    <row r="62" spans="1:10" s="6" customFormat="1" ht="12.75">
      <c r="A62" s="1057" t="s">
        <v>671</v>
      </c>
      <c r="C62" s="34">
        <f>AgCensus!I94</f>
        <v>9.044</v>
      </c>
      <c r="F62" s="616"/>
      <c r="G62" s="616"/>
      <c r="H62" s="1058">
        <v>9.044</v>
      </c>
      <c r="J62" s="188" t="s">
        <v>673</v>
      </c>
    </row>
    <row r="63" spans="1:10" s="6" customFormat="1" ht="12.75">
      <c r="A63" s="1057" t="s">
        <v>672</v>
      </c>
      <c r="C63" s="34">
        <f>AgCensus!I95</f>
        <v>2.222</v>
      </c>
      <c r="F63" s="616"/>
      <c r="G63" s="616"/>
      <c r="H63" s="1058">
        <v>2.222</v>
      </c>
      <c r="J63" s="188" t="s">
        <v>673</v>
      </c>
    </row>
    <row r="64" spans="1:10" ht="12.75">
      <c r="A64" s="188" t="s">
        <v>680</v>
      </c>
      <c r="C64" s="34">
        <f>AgCensus!I96</f>
        <v>4.996</v>
      </c>
      <c r="H64" s="1056">
        <v>5</v>
      </c>
      <c r="J64" s="188" t="s">
        <v>673</v>
      </c>
    </row>
    <row r="65" spans="1:8" s="10" customFormat="1" ht="12.75">
      <c r="A65" s="275" t="s">
        <v>132</v>
      </c>
      <c r="C65" s="409">
        <f>SUM(C61:C64)</f>
        <v>34.388000000000005</v>
      </c>
      <c r="D65" s="409">
        <f>SUM(D62:D64)</f>
        <v>0</v>
      </c>
      <c r="E65" s="409"/>
      <c r="F65" s="409"/>
      <c r="G65" s="409">
        <f>SUM(G62:G64)</f>
        <v>0</v>
      </c>
      <c r="H65" s="409">
        <f>SUM(H61:H64)</f>
        <v>34.392</v>
      </c>
    </row>
    <row r="67" spans="3:9" s="6" customFormat="1" ht="12.75">
      <c r="C67" s="35"/>
      <c r="H67" s="35"/>
      <c r="I67" s="35"/>
    </row>
    <row r="68" spans="1:14" s="677" customFormat="1" ht="12.75">
      <c r="A68" s="7" t="s">
        <v>19</v>
      </c>
      <c r="B68" s="894">
        <f>B11+B21+B65+B26+B33+B40+B50+B59+B71</f>
        <v>452</v>
      </c>
      <c r="C68" s="894">
        <f>C11+C21+C65+C26+C33+C40+C50+C59</f>
        <v>1236.9890000000003</v>
      </c>
      <c r="D68" s="894"/>
      <c r="E68" s="894">
        <f>E11+E21+E65+E26+E33+E40+E50+E59+E71</f>
        <v>3178.333406769402</v>
      </c>
      <c r="F68" s="894">
        <f>F11+F21+F65+F26+F33+F40+F50+F59+F71</f>
        <v>10835.102833979734</v>
      </c>
      <c r="G68" s="952"/>
      <c r="H68" s="952">
        <f>B68+C68+E68+F68</f>
        <v>15702.425240749137</v>
      </c>
      <c r="I68" s="952"/>
      <c r="J68" s="46"/>
      <c r="N68" s="953"/>
    </row>
    <row r="69" spans="1:14" s="677" customFormat="1" ht="12.75">
      <c r="A69" s="7"/>
      <c r="B69" s="952"/>
      <c r="C69" s="952"/>
      <c r="D69" s="952"/>
      <c r="E69" s="952"/>
      <c r="F69" s="952"/>
      <c r="G69" s="952"/>
      <c r="I69" s="952"/>
      <c r="J69" s="46"/>
      <c r="N69" s="953"/>
    </row>
    <row r="70" spans="1:14" s="677" customFormat="1" ht="12.75">
      <c r="A70" s="7"/>
      <c r="B70" s="952"/>
      <c r="C70" s="952"/>
      <c r="D70" s="952"/>
      <c r="E70" s="952"/>
      <c r="F70" s="952"/>
      <c r="G70" s="952"/>
      <c r="H70" s="952"/>
      <c r="I70" s="952"/>
      <c r="J70" s="46"/>
      <c r="N70" s="953"/>
    </row>
    <row r="71" spans="1:8" ht="12.75">
      <c r="A71" s="33" t="s">
        <v>1147</v>
      </c>
      <c r="C71" s="34">
        <v>181</v>
      </c>
      <c r="H71" s="184">
        <v>181</v>
      </c>
    </row>
    <row r="72" ht="12.75">
      <c r="J72" s="6"/>
    </row>
    <row r="73" spans="1:3" ht="12.75">
      <c r="A73" s="909"/>
      <c r="B73" s="1097" t="s">
        <v>1226</v>
      </c>
      <c r="C73" s="1098" t="s">
        <v>583</v>
      </c>
    </row>
    <row r="74" spans="1:3" ht="12.75">
      <c r="A74" s="909" t="s">
        <v>1227</v>
      </c>
      <c r="B74" s="1099">
        <f>B68+C68+C71</f>
        <v>1869.9890000000003</v>
      </c>
      <c r="C74" s="1100">
        <f>B74/B76</f>
        <v>0.1177320994468195</v>
      </c>
    </row>
    <row r="75" spans="1:10" ht="12.75">
      <c r="A75" s="909" t="s">
        <v>1228</v>
      </c>
      <c r="B75" s="912">
        <f>E68+F68</f>
        <v>14013.436240749135</v>
      </c>
      <c r="C75" s="1100">
        <f>B75/B76</f>
        <v>0.8822679005531805</v>
      </c>
      <c r="H75" s="45"/>
      <c r="I75" s="45"/>
      <c r="J75" s="46"/>
    </row>
    <row r="76" spans="1:10" ht="12.75">
      <c r="A76" s="1101" t="s">
        <v>1230</v>
      </c>
      <c r="B76" s="1102">
        <f>B74+B75</f>
        <v>15883.425240749135</v>
      </c>
      <c r="C76" s="1103">
        <f>C75+C74</f>
        <v>1</v>
      </c>
      <c r="H76" s="954"/>
      <c r="I76" s="954"/>
      <c r="J76" s="46"/>
    </row>
    <row r="77" spans="1:8" ht="12.75">
      <c r="A77" s="1104" t="s">
        <v>1229</v>
      </c>
      <c r="B77" s="1105">
        <f>B76/14500</f>
        <v>1.0954086372930438</v>
      </c>
      <c r="C77" s="909"/>
      <c r="H77" s="1049"/>
    </row>
    <row r="78" spans="1:10" s="6" customFormat="1" ht="12.75">
      <c r="A78" s="188"/>
      <c r="B78" s="34"/>
      <c r="C78" s="34"/>
      <c r="F78" s="616"/>
      <c r="G78" s="616"/>
      <c r="H78" s="246"/>
      <c r="J78" s="389"/>
    </row>
    <row r="79" spans="1:10" s="6" customFormat="1" ht="12.75">
      <c r="A79" s="188"/>
      <c r="C79" s="34"/>
      <c r="F79" s="616"/>
      <c r="G79" s="616"/>
      <c r="H79" s="334"/>
      <c r="J79" s="188"/>
    </row>
  </sheetData>
  <sheetProtection/>
  <printOptions/>
  <pageMargins left="0.75" right="0.75" top="1" bottom="1" header="0.5" footer="0.5"/>
  <pageSetup fitToHeight="1" fitToWidth="1" horizontalDpi="300" verticalDpi="300" orientation="portrait" scale="82"/>
  <legacyDrawing r:id="rId2"/>
</worksheet>
</file>

<file path=xl/worksheets/sheet10.xml><?xml version="1.0" encoding="utf-8"?>
<worksheet xmlns="http://schemas.openxmlformats.org/spreadsheetml/2006/main" xmlns:r="http://schemas.openxmlformats.org/officeDocument/2006/relationships">
  <dimension ref="A1:W52"/>
  <sheetViews>
    <sheetView zoomScalePageLayoutView="0" workbookViewId="0" topLeftCell="A1">
      <selection activeCell="C7" sqref="C7"/>
    </sheetView>
  </sheetViews>
  <sheetFormatPr defaultColWidth="11.421875" defaultRowHeight="12.75"/>
  <cols>
    <col min="1" max="1" width="19.421875" style="13" customWidth="1"/>
    <col min="2" max="2" width="11.7109375" style="13" customWidth="1"/>
    <col min="3" max="3" width="10.140625" style="13" customWidth="1"/>
    <col min="4" max="6" width="8.7109375" style="13" customWidth="1"/>
    <col min="7" max="7" width="12.8515625" style="13" customWidth="1"/>
    <col min="8" max="12" width="8.7109375" style="13" hidden="1" customWidth="1"/>
    <col min="13" max="13" width="10.8515625" style="13" customWidth="1"/>
    <col min="14" max="14" width="15.421875" style="13" customWidth="1"/>
    <col min="15" max="16" width="9.140625" style="13" customWidth="1"/>
    <col min="17" max="17" width="13.00390625" style="13" customWidth="1"/>
    <col min="18" max="18" width="10.140625" style="13" bestFit="1" customWidth="1"/>
    <col min="19" max="16384" width="11.421875" style="13" customWidth="1"/>
  </cols>
  <sheetData>
    <row r="1" ht="15.75">
      <c r="A1" s="229" t="s">
        <v>326</v>
      </c>
    </row>
    <row r="2" spans="1:14" s="46" customFormat="1" ht="14.25">
      <c r="A2" s="1117"/>
      <c r="B2" s="1014"/>
      <c r="C2" s="1014"/>
      <c r="D2" s="1014"/>
      <c r="E2" s="1014"/>
      <c r="F2" s="182"/>
      <c r="G2" s="182"/>
      <c r="H2" s="1014"/>
      <c r="I2" s="1014"/>
      <c r="J2" s="1014"/>
      <c r="K2" s="1014"/>
      <c r="L2" s="1014"/>
      <c r="M2" s="182"/>
      <c r="N2" s="1118"/>
    </row>
    <row r="3" ht="12.75">
      <c r="A3" s="71"/>
    </row>
    <row r="4" spans="1:23" ht="25.5" customHeight="1">
      <c r="A4" s="1196" t="s">
        <v>1353</v>
      </c>
      <c r="B4" s="1331" t="s">
        <v>211</v>
      </c>
      <c r="C4" s="1331"/>
      <c r="D4" s="1331"/>
      <c r="E4" s="1331"/>
      <c r="F4" s="1331"/>
      <c r="G4" s="1331"/>
      <c r="H4" s="1332" t="s">
        <v>210</v>
      </c>
      <c r="I4" s="1332"/>
      <c r="J4" s="1332"/>
      <c r="K4" s="1332"/>
      <c r="L4" s="1332"/>
      <c r="M4" s="1332"/>
      <c r="N4" s="1119" t="s">
        <v>1247</v>
      </c>
      <c r="R4" s="19"/>
      <c r="S4" s="19"/>
      <c r="T4" s="19"/>
      <c r="U4" s="19"/>
      <c r="V4" s="19"/>
      <c r="W4" s="19"/>
    </row>
    <row r="5" spans="2:23" ht="25.5">
      <c r="B5" s="375">
        <v>2008</v>
      </c>
      <c r="C5" s="375">
        <v>2009</v>
      </c>
      <c r="D5" s="375">
        <v>2010</v>
      </c>
      <c r="E5" s="375">
        <v>2011</v>
      </c>
      <c r="F5" s="375">
        <v>2012</v>
      </c>
      <c r="G5" s="1120" t="s">
        <v>1339</v>
      </c>
      <c r="H5" s="1121">
        <v>1999</v>
      </c>
      <c r="I5" s="1121">
        <v>2000</v>
      </c>
      <c r="J5" s="1121">
        <v>2001</v>
      </c>
      <c r="K5" s="1121">
        <v>2002</v>
      </c>
      <c r="L5" s="1121">
        <v>2003</v>
      </c>
      <c r="M5" s="1121" t="s">
        <v>1340</v>
      </c>
      <c r="N5" s="1120" t="s">
        <v>1248</v>
      </c>
      <c r="R5" s="19"/>
      <c r="S5" s="188"/>
      <c r="T5" s="188"/>
      <c r="U5" s="19"/>
      <c r="V5" s="19"/>
      <c r="W5" s="19"/>
    </row>
    <row r="6" spans="1:23" ht="12.75">
      <c r="A6" s="228"/>
      <c r="B6" s="1123" t="s">
        <v>170</v>
      </c>
      <c r="C6" s="1123" t="s">
        <v>170</v>
      </c>
      <c r="D6" s="1123" t="s">
        <v>170</v>
      </c>
      <c r="E6" s="1123" t="s">
        <v>170</v>
      </c>
      <c r="F6" s="1123" t="s">
        <v>170</v>
      </c>
      <c r="G6" s="1202" t="s">
        <v>170</v>
      </c>
      <c r="H6" s="375" t="s">
        <v>170</v>
      </c>
      <c r="I6" s="375" t="s">
        <v>170</v>
      </c>
      <c r="J6" s="375" t="s">
        <v>170</v>
      </c>
      <c r="K6" s="375" t="s">
        <v>170</v>
      </c>
      <c r="L6" s="375" t="s">
        <v>170</v>
      </c>
      <c r="M6" s="375" t="s">
        <v>170</v>
      </c>
      <c r="N6" s="1202" t="s">
        <v>170</v>
      </c>
      <c r="P6" s="479" t="s">
        <v>1344</v>
      </c>
      <c r="R6" s="19"/>
      <c r="S6" s="1124"/>
      <c r="T6" s="1124"/>
      <c r="U6" s="19"/>
      <c r="V6" s="19"/>
      <c r="W6" s="19"/>
    </row>
    <row r="7" spans="1:23" ht="13.5" thickBot="1">
      <c r="A7" s="1193" t="s">
        <v>169</v>
      </c>
      <c r="B7" s="1014">
        <f>299*42</f>
        <v>12558</v>
      </c>
      <c r="C7" s="1014">
        <f>282*42</f>
        <v>11844</v>
      </c>
      <c r="D7" s="1014">
        <f>251*42</f>
        <v>10542</v>
      </c>
      <c r="E7" s="1014">
        <f>241*42</f>
        <v>10122</v>
      </c>
      <c r="F7" s="182">
        <f>197*42</f>
        <v>8274</v>
      </c>
      <c r="G7" s="1125">
        <f>AVERAGE(B7:F7)</f>
        <v>10668</v>
      </c>
      <c r="H7" s="1014">
        <v>17455</v>
      </c>
      <c r="I7" s="1014">
        <v>22364</v>
      </c>
      <c r="J7" s="1014">
        <v>23375</v>
      </c>
      <c r="K7" s="1014">
        <v>22927</v>
      </c>
      <c r="L7" s="1014">
        <v>15366</v>
      </c>
      <c r="M7" s="182">
        <v>20297.4</v>
      </c>
      <c r="N7" s="46"/>
      <c r="P7" s="13" t="s">
        <v>1345</v>
      </c>
      <c r="R7" s="19"/>
      <c r="S7" s="19"/>
      <c r="T7" s="43"/>
      <c r="U7" s="19"/>
      <c r="V7" s="19"/>
      <c r="W7" s="19"/>
    </row>
    <row r="8" spans="1:23" ht="13.5" thickBot="1">
      <c r="A8" s="1193" t="s">
        <v>280</v>
      </c>
      <c r="B8" s="14">
        <f>89950000/(22747*2)</f>
        <v>1977.1838044577307</v>
      </c>
      <c r="C8" s="14">
        <f>88100000/(22747*2)</f>
        <v>1936.5191014199675</v>
      </c>
      <c r="D8" s="14">
        <f>83000000/(22747*2)</f>
        <v>1824.4164065591067</v>
      </c>
      <c r="E8" s="14">
        <f>79900000/(22747*2)</f>
        <v>1756.2755528201521</v>
      </c>
      <c r="F8" s="14">
        <f>91100000/(22747*2)</f>
        <v>2002.4618631028268</v>
      </c>
      <c r="G8" s="1126">
        <f>AVERAGE(B8:F8)</f>
        <v>1899.3713456719568</v>
      </c>
      <c r="H8" s="46"/>
      <c r="I8" s="46"/>
      <c r="J8" s="46"/>
      <c r="K8" s="46"/>
      <c r="L8" s="46"/>
      <c r="M8" s="46"/>
      <c r="N8" s="46"/>
      <c r="P8" s="13" t="s">
        <v>1345</v>
      </c>
      <c r="R8" s="19"/>
      <c r="S8" s="19"/>
      <c r="T8" s="19"/>
      <c r="U8" s="19"/>
      <c r="V8" s="19"/>
      <c r="W8" s="19"/>
    </row>
    <row r="9" spans="1:23" ht="13.5" thickBot="1">
      <c r="A9" s="1193" t="s">
        <v>172</v>
      </c>
      <c r="B9" s="1014">
        <f>182.6*100</f>
        <v>18260</v>
      </c>
      <c r="C9" s="1014">
        <f>139.8*100</f>
        <v>13980.000000000002</v>
      </c>
      <c r="D9" s="1014">
        <f>145.5*100</f>
        <v>14550</v>
      </c>
      <c r="E9" s="1014">
        <f>178.2*100</f>
        <v>17820</v>
      </c>
      <c r="F9" s="182">
        <f>163.3*100</f>
        <v>16330.000000000002</v>
      </c>
      <c r="G9" s="1126">
        <f>AVERAGE(B9:F9)</f>
        <v>16188</v>
      </c>
      <c r="H9" s="1014"/>
      <c r="I9" s="1014"/>
      <c r="J9" s="1014"/>
      <c r="K9" s="1014"/>
      <c r="L9" s="1014"/>
      <c r="M9" s="182"/>
      <c r="N9" s="273"/>
      <c r="P9" s="13" t="s">
        <v>1345</v>
      </c>
      <c r="R9" s="19"/>
      <c r="S9" s="43"/>
      <c r="T9" s="1127"/>
      <c r="U9" s="19"/>
      <c r="V9" s="19"/>
      <c r="W9" s="19"/>
    </row>
    <row r="10" spans="1:23" ht="12.75" customHeight="1" thickBot="1">
      <c r="A10" s="1193" t="s">
        <v>173</v>
      </c>
      <c r="B10" s="1014"/>
      <c r="C10" s="1014"/>
      <c r="D10" s="1014"/>
      <c r="E10" s="1014"/>
      <c r="F10" s="182"/>
      <c r="G10" s="182"/>
      <c r="H10" s="1014">
        <v>7937</v>
      </c>
      <c r="I10" s="1014">
        <v>12952</v>
      </c>
      <c r="J10" s="1014">
        <v>9778</v>
      </c>
      <c r="K10" s="1014">
        <v>9460</v>
      </c>
      <c r="L10" s="1014">
        <v>10000</v>
      </c>
      <c r="M10" s="1126">
        <f>SUM(H10:L10)/5</f>
        <v>10025.4</v>
      </c>
      <c r="N10" s="273"/>
      <c r="P10" s="13" t="s">
        <v>1346</v>
      </c>
      <c r="R10" s="19"/>
      <c r="S10" s="184"/>
      <c r="T10" s="1127"/>
      <c r="U10" s="19"/>
      <c r="V10" s="19"/>
      <c r="W10" s="19"/>
    </row>
    <row r="11" spans="1:23" ht="13.5" thickBot="1">
      <c r="A11" s="1193" t="s">
        <v>207</v>
      </c>
      <c r="B11" s="1014">
        <f>48*155</f>
        <v>7440</v>
      </c>
      <c r="C11" s="1014">
        <f>48*168</f>
        <v>8064</v>
      </c>
      <c r="D11" s="1014">
        <f>48*166</f>
        <v>7968</v>
      </c>
      <c r="E11" s="1014">
        <f>48*168</f>
        <v>8064</v>
      </c>
      <c r="F11" s="1014">
        <f>48*152</f>
        <v>7296</v>
      </c>
      <c r="G11" s="1126">
        <f>AVERAGE(B11:F11)</f>
        <v>7766.4</v>
      </c>
      <c r="H11" s="1014">
        <v>5313</v>
      </c>
      <c r="I11" s="1014">
        <v>7500</v>
      </c>
      <c r="J11" s="1014">
        <v>7063</v>
      </c>
      <c r="K11" s="1014">
        <v>7500</v>
      </c>
      <c r="L11" s="1014">
        <v>5882</v>
      </c>
      <c r="M11" s="182">
        <f>SUM(H11:L11)/5</f>
        <v>6651.6</v>
      </c>
      <c r="N11" s="273"/>
      <c r="P11" s="13" t="s">
        <v>1345</v>
      </c>
      <c r="R11" s="19"/>
      <c r="S11" s="184"/>
      <c r="T11" s="1127"/>
      <c r="U11" s="19"/>
      <c r="V11" s="19"/>
      <c r="W11" s="19"/>
    </row>
    <row r="12" spans="1:23" ht="13.5" thickBot="1">
      <c r="A12" s="1193" t="s">
        <v>175</v>
      </c>
      <c r="B12" s="1014">
        <f>50*62</f>
        <v>3100</v>
      </c>
      <c r="C12" s="1014">
        <f>50*145</f>
        <v>7250</v>
      </c>
      <c r="D12" s="1014">
        <f>50*107</f>
        <v>5350</v>
      </c>
      <c r="E12" s="1014">
        <f>50*96</f>
        <v>4800</v>
      </c>
      <c r="F12" s="1014">
        <f>50*84</f>
        <v>4200</v>
      </c>
      <c r="G12" s="1126">
        <f>AVERAGE(B12:F12)</f>
        <v>4940</v>
      </c>
      <c r="H12" s="1014">
        <v>10000</v>
      </c>
      <c r="I12" s="1014">
        <v>11300</v>
      </c>
      <c r="J12" s="1014">
        <v>12900</v>
      </c>
      <c r="K12" s="1014">
        <v>14286</v>
      </c>
      <c r="L12" s="1014">
        <v>14071</v>
      </c>
      <c r="M12" s="182">
        <f>SUM(H12:L12)/5</f>
        <v>12511.4</v>
      </c>
      <c r="N12" s="273"/>
      <c r="P12" s="13" t="s">
        <v>1345</v>
      </c>
      <c r="R12" s="19"/>
      <c r="S12" s="184"/>
      <c r="T12" s="1127"/>
      <c r="U12" s="19"/>
      <c r="V12" s="19"/>
      <c r="W12" s="19"/>
    </row>
    <row r="13" spans="1:23" ht="13.5" thickBot="1">
      <c r="A13" s="40" t="s">
        <v>177</v>
      </c>
      <c r="B13" s="64">
        <v>6000</v>
      </c>
      <c r="C13" s="64">
        <v>3800</v>
      </c>
      <c r="D13" s="64">
        <v>4300</v>
      </c>
      <c r="E13" s="64">
        <v>5100</v>
      </c>
      <c r="F13" s="15">
        <v>5000</v>
      </c>
      <c r="G13" s="1126">
        <f>AVERAGE(B13:F13)</f>
        <v>4840</v>
      </c>
      <c r="H13" s="64">
        <v>3813</v>
      </c>
      <c r="I13" s="64">
        <v>4875</v>
      </c>
      <c r="J13" s="64">
        <v>4063</v>
      </c>
      <c r="K13" s="64">
        <v>3750</v>
      </c>
      <c r="L13" s="64">
        <v>4500</v>
      </c>
      <c r="M13" s="15">
        <f>SUM(H13:L13)/5</f>
        <v>4200.2</v>
      </c>
      <c r="N13" s="273">
        <v>8280</v>
      </c>
      <c r="P13" s="13" t="s">
        <v>1345</v>
      </c>
      <c r="Q13" s="15"/>
      <c r="R13" s="19"/>
      <c r="S13" s="184"/>
      <c r="T13" s="1127"/>
      <c r="U13" s="19"/>
      <c r="V13" s="19"/>
      <c r="W13" s="19"/>
    </row>
    <row r="14" spans="1:23" ht="13.5" thickBot="1">
      <c r="A14" s="1193" t="s">
        <v>178</v>
      </c>
      <c r="B14" s="182">
        <v>11300</v>
      </c>
      <c r="C14" s="46"/>
      <c r="D14" s="46">
        <v>11500</v>
      </c>
      <c r="E14" s="46">
        <v>16000</v>
      </c>
      <c r="F14" s="1106">
        <v>7600</v>
      </c>
      <c r="G14" s="1126">
        <f>AVERAGE(B14:F14)</f>
        <v>11600</v>
      </c>
      <c r="H14" s="46"/>
      <c r="I14" s="46"/>
      <c r="J14" s="46"/>
      <c r="K14" s="46"/>
      <c r="L14" s="46"/>
      <c r="M14" s="46"/>
      <c r="N14" s="273">
        <v>28980</v>
      </c>
      <c r="P14" s="13" t="s">
        <v>1345</v>
      </c>
      <c r="Q14" s="15"/>
      <c r="R14" s="19"/>
      <c r="S14" s="184"/>
      <c r="T14" s="1127"/>
      <c r="U14" s="19"/>
      <c r="V14" s="19"/>
      <c r="W14" s="19"/>
    </row>
    <row r="15" spans="1:21" s="341" customFormat="1" ht="12.75">
      <c r="A15" s="1194" t="s">
        <v>281</v>
      </c>
      <c r="B15" s="1128"/>
      <c r="C15" s="1128"/>
      <c r="D15" s="1128"/>
      <c r="E15" s="1128"/>
      <c r="F15" s="594"/>
      <c r="G15" s="1129"/>
      <c r="N15" s="1130">
        <v>6210</v>
      </c>
      <c r="Q15" s="15"/>
      <c r="R15" s="19"/>
      <c r="S15" s="184"/>
      <c r="T15" s="1127"/>
      <c r="U15" s="1127"/>
    </row>
    <row r="16" spans="1:20" s="341" customFormat="1" ht="12.75">
      <c r="A16" s="1194" t="s">
        <v>279</v>
      </c>
      <c r="B16" s="1128">
        <v>2800</v>
      </c>
      <c r="C16" s="1128">
        <v>3100</v>
      </c>
      <c r="D16" s="1128">
        <v>2600</v>
      </c>
      <c r="E16" s="1128">
        <v>2600</v>
      </c>
      <c r="F16" s="594">
        <v>2800</v>
      </c>
      <c r="G16" s="1129">
        <f>AVERAGE(B16:F16)</f>
        <v>2780</v>
      </c>
      <c r="N16" s="1130"/>
      <c r="Q16" s="15"/>
      <c r="R16" s="19"/>
      <c r="S16" s="43"/>
      <c r="T16" s="1127"/>
    </row>
    <row r="17" spans="1:20" s="341" customFormat="1" ht="12.75">
      <c r="A17" s="1195" t="s">
        <v>282</v>
      </c>
      <c r="B17" s="1131"/>
      <c r="C17" s="1131"/>
      <c r="D17" s="1131"/>
      <c r="E17" s="1131"/>
      <c r="F17" s="1129"/>
      <c r="G17" s="1129"/>
      <c r="N17" s="1130">
        <v>5796</v>
      </c>
      <c r="Q17" s="15"/>
      <c r="R17" s="19"/>
      <c r="S17" s="43"/>
      <c r="T17" s="1127"/>
    </row>
    <row r="18" spans="1:20" s="341" customFormat="1" ht="12.75">
      <c r="A18" s="1194" t="s">
        <v>176</v>
      </c>
      <c r="B18" s="1128">
        <v>1400</v>
      </c>
      <c r="C18" s="1128">
        <v>1400</v>
      </c>
      <c r="D18" s="1128">
        <v>1600</v>
      </c>
      <c r="E18" s="1128">
        <v>1500</v>
      </c>
      <c r="F18" s="594">
        <v>1300</v>
      </c>
      <c r="G18" s="1129">
        <f>AVERAGE(B18:F18)</f>
        <v>1440</v>
      </c>
      <c r="N18" s="1130">
        <v>6210</v>
      </c>
      <c r="R18" s="19"/>
      <c r="S18" s="43"/>
      <c r="T18" s="1127"/>
    </row>
    <row r="19" spans="1:20" s="341" customFormat="1" ht="12.75">
      <c r="A19" s="864"/>
      <c r="B19" s="1128"/>
      <c r="C19" s="1128"/>
      <c r="D19" s="1128"/>
      <c r="E19" s="1128"/>
      <c r="F19" s="594"/>
      <c r="G19" s="1129"/>
      <c r="N19" s="1130"/>
      <c r="R19" s="19"/>
      <c r="S19" s="43"/>
      <c r="T19" s="1127"/>
    </row>
    <row r="20" spans="1:14" ht="42" customHeight="1">
      <c r="A20" s="1196" t="s">
        <v>1352</v>
      </c>
      <c r="B20" s="1298" t="s">
        <v>1337</v>
      </c>
      <c r="C20" s="1298"/>
      <c r="D20" s="1298"/>
      <c r="E20" s="1298"/>
      <c r="F20" s="1298"/>
      <c r="G20" s="1298"/>
      <c r="H20" s="1267" t="s">
        <v>1341</v>
      </c>
      <c r="I20" s="1267"/>
      <c r="J20" s="1267"/>
      <c r="K20" s="1267"/>
      <c r="L20" s="1267"/>
      <c r="M20" s="1267"/>
      <c r="N20" s="375" t="s">
        <v>1343</v>
      </c>
    </row>
    <row r="21" spans="1:14" ht="25.5">
      <c r="A21" s="71"/>
      <c r="B21" s="375">
        <v>2008</v>
      </c>
      <c r="C21" s="375">
        <v>2009</v>
      </c>
      <c r="D21" s="375">
        <v>2010</v>
      </c>
      <c r="E21" s="375">
        <v>2011</v>
      </c>
      <c r="F21" s="375">
        <v>2012</v>
      </c>
      <c r="G21" s="1122" t="s">
        <v>1339</v>
      </c>
      <c r="H21" s="547">
        <v>2008</v>
      </c>
      <c r="I21" s="547">
        <v>2009</v>
      </c>
      <c r="J21" s="547">
        <v>2010</v>
      </c>
      <c r="K21" s="547">
        <v>2011</v>
      </c>
      <c r="L21" s="547">
        <v>2012</v>
      </c>
      <c r="M21" s="1122" t="s">
        <v>1339</v>
      </c>
      <c r="N21" s="375" t="s">
        <v>1342</v>
      </c>
    </row>
    <row r="22" spans="1:17" ht="13.5" thickBot="1">
      <c r="A22" s="181"/>
      <c r="B22" s="1123" t="s">
        <v>170</v>
      </c>
      <c r="C22" s="1123" t="s">
        <v>170</v>
      </c>
      <c r="D22" s="1123" t="s">
        <v>170</v>
      </c>
      <c r="E22" s="1123" t="s">
        <v>170</v>
      </c>
      <c r="F22" s="1123" t="s">
        <v>170</v>
      </c>
      <c r="G22" s="1197" t="s">
        <v>170</v>
      </c>
      <c r="H22" s="333" t="s">
        <v>170</v>
      </c>
      <c r="I22" s="333" t="s">
        <v>170</v>
      </c>
      <c r="J22" s="333" t="s">
        <v>170</v>
      </c>
      <c r="K22" s="333" t="s">
        <v>170</v>
      </c>
      <c r="L22" s="333" t="s">
        <v>170</v>
      </c>
      <c r="M22" s="333" t="s">
        <v>170</v>
      </c>
      <c r="N22" s="333" t="s">
        <v>170</v>
      </c>
      <c r="O22" s="39"/>
      <c r="P22" s="39" t="s">
        <v>1344</v>
      </c>
      <c r="Q22" s="39"/>
    </row>
    <row r="23" spans="1:16" ht="13.5" thickBot="1">
      <c r="A23" s="1135" t="s">
        <v>519</v>
      </c>
      <c r="B23" s="15">
        <f>B25/B24</f>
        <v>27816.54731068109</v>
      </c>
      <c r="C23" s="15">
        <f>C25/C24</f>
        <v>25516.490354698195</v>
      </c>
      <c r="D23" s="15">
        <f>D25/D24</f>
        <v>30093.403385872738</v>
      </c>
      <c r="E23" s="15">
        <f>E25/E24</f>
        <v>30868.662911354877</v>
      </c>
      <c r="F23" s="15">
        <f>F25/F24</f>
        <v>28971.291866028707</v>
      </c>
      <c r="G23" s="1198">
        <f>AVERAGE(B23:F23)</f>
        <v>28653.279165727123</v>
      </c>
      <c r="H23" s="184"/>
      <c r="I23" s="184"/>
      <c r="J23" s="184"/>
      <c r="K23" s="184"/>
      <c r="L23" s="294"/>
      <c r="N23" s="1189"/>
      <c r="P23" s="323" t="s">
        <v>1338</v>
      </c>
    </row>
    <row r="24" spans="1:14" ht="12.75" hidden="1">
      <c r="A24" s="1191" t="s">
        <v>1335</v>
      </c>
      <c r="B24" s="1192">
        <v>656300</v>
      </c>
      <c r="C24" s="1192">
        <v>642800</v>
      </c>
      <c r="D24" s="1192">
        <v>342600</v>
      </c>
      <c r="E24" s="1192">
        <v>337300</v>
      </c>
      <c r="F24" s="1192">
        <v>334400</v>
      </c>
      <c r="H24" s="184"/>
      <c r="I24" s="184"/>
      <c r="J24" s="184"/>
      <c r="K24" s="184"/>
      <c r="L24" s="294"/>
      <c r="N24" s="42"/>
    </row>
    <row r="25" spans="1:14" ht="12.75" hidden="1">
      <c r="A25" s="1191" t="s">
        <v>1336</v>
      </c>
      <c r="B25" s="1192">
        <f>1000*2000*9128</f>
        <v>18256000000</v>
      </c>
      <c r="C25" s="1192">
        <f>1000*2000*8201</f>
        <v>16402000000</v>
      </c>
      <c r="D25" s="1192">
        <f>1000*2000*5155</f>
        <v>10310000000</v>
      </c>
      <c r="E25" s="1192">
        <f>1000*2000*5206</f>
        <v>10412000000</v>
      </c>
      <c r="F25" s="1192">
        <f>1000*2000*4844</f>
        <v>9688000000</v>
      </c>
      <c r="H25" s="184"/>
      <c r="I25" s="184"/>
      <c r="J25" s="184"/>
      <c r="K25" s="184"/>
      <c r="L25" s="294"/>
      <c r="N25" s="42"/>
    </row>
    <row r="26" spans="1:16" ht="13.5" thickBot="1">
      <c r="A26" s="1135" t="s">
        <v>514</v>
      </c>
      <c r="B26" s="15">
        <f>B28/B27</f>
        <v>32437.81094527363</v>
      </c>
      <c r="C26" s="15">
        <f>C28/C27</f>
        <v>32230.971128608922</v>
      </c>
      <c r="D26" s="15">
        <f>D28/D27</f>
        <v>33978.49462365591</v>
      </c>
      <c r="E26" s="15">
        <f>E28/E27</f>
        <v>31416.893732970027</v>
      </c>
      <c r="F26" s="15">
        <f>F28/F27</f>
        <v>32305.593451568893</v>
      </c>
      <c r="G26" s="1198">
        <f>AVERAGE(B26:F26)</f>
        <v>32473.952776415477</v>
      </c>
      <c r="H26" s="184"/>
      <c r="I26" s="184"/>
      <c r="J26" s="184"/>
      <c r="K26" s="184"/>
      <c r="L26" s="294"/>
      <c r="N26" s="42"/>
      <c r="P26" s="323" t="s">
        <v>1338</v>
      </c>
    </row>
    <row r="27" spans="1:14" ht="12.75" hidden="1">
      <c r="A27" s="1191" t="s">
        <v>1335</v>
      </c>
      <c r="B27" s="1192">
        <v>80400</v>
      </c>
      <c r="C27" s="1192">
        <v>76200</v>
      </c>
      <c r="D27" s="1192">
        <v>74400</v>
      </c>
      <c r="E27" s="1192">
        <v>73400</v>
      </c>
      <c r="F27" s="1192">
        <v>73300</v>
      </c>
      <c r="H27" s="184"/>
      <c r="I27" s="184"/>
      <c r="J27" s="184"/>
      <c r="K27" s="184"/>
      <c r="L27" s="294"/>
      <c r="N27" s="42"/>
    </row>
    <row r="28" spans="1:14" ht="12.75" hidden="1">
      <c r="A28" s="1191" t="s">
        <v>1336</v>
      </c>
      <c r="B28" s="595">
        <f>1000*2000*1304</f>
        <v>2608000000</v>
      </c>
      <c r="C28" s="595">
        <f>1000*2000*1228</f>
        <v>2456000000</v>
      </c>
      <c r="D28" s="595">
        <f>1000*2000*1264</f>
        <v>2528000000</v>
      </c>
      <c r="E28" s="595">
        <f>1000*2000*1153</f>
        <v>2306000000</v>
      </c>
      <c r="F28" s="595">
        <f>1000*2000*1184</f>
        <v>2368000000</v>
      </c>
      <c r="H28" s="184"/>
      <c r="I28" s="184"/>
      <c r="J28" s="184"/>
      <c r="K28" s="184"/>
      <c r="L28" s="294"/>
      <c r="N28" s="42"/>
    </row>
    <row r="29" spans="1:16" ht="13.5" thickBot="1">
      <c r="A29" s="1135" t="s">
        <v>529</v>
      </c>
      <c r="B29" s="15">
        <f>B31/B30</f>
        <v>30915.254237288136</v>
      </c>
      <c r="C29" s="15">
        <f>C31/C30</f>
        <v>30280.701754385966</v>
      </c>
      <c r="D29" s="15">
        <f>D31/D30</f>
        <v>33153.15315315315</v>
      </c>
      <c r="E29" s="15">
        <f>E31/E30</f>
        <v>30909.090909090908</v>
      </c>
      <c r="F29" s="15">
        <f>F31/F30</f>
        <v>33163.63636363636</v>
      </c>
      <c r="G29" s="1198">
        <f>AVERAGE(B29:F29)</f>
        <v>31684.367283510906</v>
      </c>
      <c r="H29" s="184"/>
      <c r="I29" s="184"/>
      <c r="J29" s="184"/>
      <c r="K29" s="184"/>
      <c r="L29" s="294"/>
      <c r="P29" s="323" t="s">
        <v>1338</v>
      </c>
    </row>
    <row r="30" spans="1:14" ht="12.75" hidden="1">
      <c r="A30" s="1191" t="s">
        <v>1335</v>
      </c>
      <c r="B30" s="1192">
        <v>59000</v>
      </c>
      <c r="C30" s="1192">
        <v>57000</v>
      </c>
      <c r="D30" s="1192">
        <v>55500</v>
      </c>
      <c r="E30" s="1192">
        <v>55000</v>
      </c>
      <c r="F30" s="1192">
        <v>55000</v>
      </c>
      <c r="H30" s="184"/>
      <c r="I30" s="184"/>
      <c r="J30" s="184"/>
      <c r="K30" s="184"/>
      <c r="L30" s="294"/>
      <c r="N30" s="42"/>
    </row>
    <row r="31" spans="1:14" ht="12.75" hidden="1">
      <c r="A31" s="1191" t="s">
        <v>1336</v>
      </c>
      <c r="B31" s="595">
        <f>1000*2000*912</f>
        <v>1824000000</v>
      </c>
      <c r="C31" s="595">
        <f>1000*2000*863</f>
        <v>1726000000</v>
      </c>
      <c r="D31" s="595">
        <f>1000*2000*920</f>
        <v>1840000000</v>
      </c>
      <c r="E31" s="595">
        <f>1000*2000*850</f>
        <v>1700000000</v>
      </c>
      <c r="F31" s="595">
        <f>1000*2000*912</f>
        <v>1824000000</v>
      </c>
      <c r="H31" s="184"/>
      <c r="I31" s="184"/>
      <c r="J31" s="184"/>
      <c r="K31" s="184"/>
      <c r="L31" s="294"/>
      <c r="N31" s="42"/>
    </row>
    <row r="32" spans="1:16" ht="13.5" thickBot="1">
      <c r="A32" s="1135" t="s">
        <v>1250</v>
      </c>
      <c r="B32" s="15">
        <f>B34/B33</f>
        <v>20045.24886877828</v>
      </c>
      <c r="C32" s="15">
        <f>C34/C33</f>
        <v>25982.5327510917</v>
      </c>
      <c r="D32" s="15">
        <f>D34/D33</f>
        <v>27204.96894409938</v>
      </c>
      <c r="E32" s="15">
        <f>E34/E33</f>
        <v>24486.692015209126</v>
      </c>
      <c r="F32" s="15">
        <f>F34/F33</f>
        <v>26257.197696737043</v>
      </c>
      <c r="G32" s="1198">
        <f>AVERAGE(B32:F32)</f>
        <v>24795.328055183105</v>
      </c>
      <c r="H32" s="184"/>
      <c r="I32" s="184"/>
      <c r="J32" s="184"/>
      <c r="K32" s="184"/>
      <c r="L32" s="294"/>
      <c r="N32" s="42"/>
      <c r="P32" s="323" t="s">
        <v>1338</v>
      </c>
    </row>
    <row r="33" spans="1:14" ht="12.75" hidden="1">
      <c r="A33" s="1191" t="s">
        <v>1335</v>
      </c>
      <c r="B33" s="1192">
        <v>44200</v>
      </c>
      <c r="C33" s="1192">
        <v>45800</v>
      </c>
      <c r="D33" s="1192">
        <v>48300</v>
      </c>
      <c r="E33" s="1192">
        <v>52600</v>
      </c>
      <c r="F33" s="1192">
        <v>52100</v>
      </c>
      <c r="H33" s="184"/>
      <c r="I33" s="184"/>
      <c r="J33" s="184"/>
      <c r="K33" s="184"/>
      <c r="L33" s="294"/>
      <c r="N33" s="42"/>
    </row>
    <row r="34" spans="1:14" ht="12.75" hidden="1">
      <c r="A34" s="1191" t="s">
        <v>1336</v>
      </c>
      <c r="B34" s="595">
        <f>1000*2000*443</f>
        <v>886000000</v>
      </c>
      <c r="C34" s="595">
        <f>1000*2000*595</f>
        <v>1190000000</v>
      </c>
      <c r="D34" s="595">
        <f>1000*2000*657</f>
        <v>1314000000</v>
      </c>
      <c r="E34" s="595">
        <f>1000*2000*644</f>
        <v>1288000000</v>
      </c>
      <c r="F34" s="595">
        <f>1000*2000*684</f>
        <v>1368000000</v>
      </c>
      <c r="H34" s="184"/>
      <c r="I34" s="184"/>
      <c r="J34" s="184"/>
      <c r="K34" s="184"/>
      <c r="L34" s="294"/>
      <c r="N34" s="42"/>
    </row>
    <row r="35" spans="1:16" ht="13.5" thickBot="1">
      <c r="A35" s="1135" t="s">
        <v>530</v>
      </c>
      <c r="C35" s="1190"/>
      <c r="F35" s="19"/>
      <c r="H35" s="187"/>
      <c r="I35" s="187"/>
      <c r="J35" s="187"/>
      <c r="K35" s="187"/>
      <c r="L35" s="187"/>
      <c r="N35" s="1199">
        <f>'[1]GlobalY'!C21</f>
        <v>7940.1265320634</v>
      </c>
      <c r="P35" s="13" t="s">
        <v>1252</v>
      </c>
    </row>
    <row r="36" spans="1:16" ht="13.5" thickBot="1">
      <c r="A36" s="323" t="s">
        <v>520</v>
      </c>
      <c r="F36" s="19"/>
      <c r="H36" s="317">
        <f>2000*11.4</f>
        <v>22800</v>
      </c>
      <c r="I36" s="317">
        <f>2000*8.97</f>
        <v>17940</v>
      </c>
      <c r="J36" s="317">
        <f>2000*10.16</f>
        <v>20320</v>
      </c>
      <c r="K36" s="317">
        <f>2000*11.04</f>
        <v>22080</v>
      </c>
      <c r="L36" s="317">
        <f>2000*9.33</f>
        <v>18660</v>
      </c>
      <c r="M36" s="1201">
        <f>AVERAGE(H36:L36)</f>
        <v>20360</v>
      </c>
      <c r="N36" s="43"/>
      <c r="P36" s="1134" t="s">
        <v>1257</v>
      </c>
    </row>
    <row r="37" spans="1:16" ht="13.5" thickBot="1">
      <c r="A37" s="1135" t="s">
        <v>510</v>
      </c>
      <c r="F37" s="19"/>
      <c r="H37" s="184"/>
      <c r="I37" s="184"/>
      <c r="J37" s="184"/>
      <c r="K37" s="184"/>
      <c r="L37" s="294"/>
      <c r="N37" s="1200">
        <f>'[1]GlobalY'!C22</f>
        <v>10196.3583136892</v>
      </c>
      <c r="P37" s="13" t="s">
        <v>1252</v>
      </c>
    </row>
    <row r="38" spans="1:16" ht="13.5" thickBot="1">
      <c r="A38" s="1135" t="s">
        <v>516</v>
      </c>
      <c r="F38" s="19"/>
      <c r="H38" s="187"/>
      <c r="I38" s="187"/>
      <c r="J38" s="187"/>
      <c r="K38" s="187"/>
      <c r="L38" s="187"/>
      <c r="N38" s="1200">
        <f>'[1]GlobalY'!C23</f>
        <v>12667.159174156</v>
      </c>
      <c r="P38" s="13" t="s">
        <v>1252</v>
      </c>
    </row>
    <row r="39" spans="1:16" ht="13.5" thickBot="1">
      <c r="A39" s="1135" t="s">
        <v>513</v>
      </c>
      <c r="F39" s="19"/>
      <c r="H39" s="184"/>
      <c r="I39" s="184"/>
      <c r="J39" s="184"/>
      <c r="K39" s="184"/>
      <c r="L39" s="294"/>
      <c r="N39" s="1200">
        <f>'[1]GlobalY'!C24</f>
        <v>5947.8905526374</v>
      </c>
      <c r="P39" s="13" t="s">
        <v>1252</v>
      </c>
    </row>
    <row r="40" spans="1:16" ht="13.5" thickBot="1">
      <c r="A40" s="1135" t="s">
        <v>533</v>
      </c>
      <c r="F40" s="19"/>
      <c r="H40" s="187"/>
      <c r="I40" s="187"/>
      <c r="J40" s="187"/>
      <c r="K40" s="187"/>
      <c r="L40" s="187"/>
      <c r="N40" s="1201">
        <f>'[1]GlobalY'!C29</f>
        <v>6691.8787224732</v>
      </c>
      <c r="P40" s="13" t="s">
        <v>1252</v>
      </c>
    </row>
    <row r="41" spans="1:16" ht="13.5" thickBot="1">
      <c r="A41" s="323" t="s">
        <v>528</v>
      </c>
      <c r="F41" s="19"/>
      <c r="H41" s="187"/>
      <c r="I41" s="187"/>
      <c r="J41" s="187"/>
      <c r="K41" s="187"/>
      <c r="L41" s="187"/>
      <c r="N41" s="1201">
        <f>'[1]GlobalY'!C25</f>
        <v>1592.0044252968</v>
      </c>
      <c r="P41" s="13" t="s">
        <v>1252</v>
      </c>
    </row>
    <row r="42" spans="1:7" ht="12.75">
      <c r="A42" s="373"/>
      <c r="B42" s="43"/>
      <c r="D42" s="187"/>
      <c r="E42" s="187"/>
      <c r="F42" s="187"/>
      <c r="G42" s="187"/>
    </row>
    <row r="44" ht="12.75">
      <c r="C44" s="15"/>
    </row>
    <row r="45" spans="3:4" ht="12.75">
      <c r="C45" s="15"/>
      <c r="D45" s="1190"/>
    </row>
    <row r="46" ht="12.75">
      <c r="C46" s="15"/>
    </row>
    <row r="52" ht="12.75">
      <c r="D52" s="1190"/>
    </row>
  </sheetData>
  <sheetProtection/>
  <mergeCells count="4">
    <mergeCell ref="H20:M20"/>
    <mergeCell ref="B20:G20"/>
    <mergeCell ref="B4:G4"/>
    <mergeCell ref="H4:M4"/>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IQ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26" sqref="A26"/>
    </sheetView>
  </sheetViews>
  <sheetFormatPr defaultColWidth="8.8515625" defaultRowHeight="12.75"/>
  <cols>
    <col min="1" max="2" width="8.8515625" style="0" customWidth="1"/>
    <col min="3" max="3" width="9.140625" style="0" customWidth="1"/>
    <col min="4" max="4" width="12.00390625" style="0" customWidth="1"/>
    <col min="5" max="5" width="15.28125" style="0" customWidth="1"/>
    <col min="6" max="6" width="13.140625" style="0" customWidth="1"/>
    <col min="7" max="7" width="12.140625" style="33" customWidth="1"/>
    <col min="8" max="8" width="13.7109375" style="33" customWidth="1"/>
    <col min="9" max="9" width="14.421875" style="33" customWidth="1"/>
    <col min="10" max="10" width="11.421875" style="33" customWidth="1"/>
    <col min="11" max="11" width="11.28125" style="33" customWidth="1"/>
    <col min="12" max="12" width="9.140625" style="33" customWidth="1"/>
    <col min="13" max="13" width="9.140625" style="4" customWidth="1"/>
  </cols>
  <sheetData>
    <row r="1" spans="1:13" s="33" customFormat="1" ht="15.75">
      <c r="A1" s="609" t="s">
        <v>1273</v>
      </c>
      <c r="M1" s="6"/>
    </row>
    <row r="2" spans="1:13" s="33" customFormat="1" ht="12.75">
      <c r="A2" s="46" t="s">
        <v>1319</v>
      </c>
      <c r="F2" s="46"/>
      <c r="M2" s="6"/>
    </row>
    <row r="3" spans="1:13" s="33" customFormat="1" ht="12.75">
      <c r="A3" s="33" t="s">
        <v>180</v>
      </c>
      <c r="B3" s="33">
        <v>14500000</v>
      </c>
      <c r="M3" s="6"/>
    </row>
    <row r="4" ht="12.75"/>
    <row r="5" spans="3:13" ht="17.25" customHeight="1">
      <c r="C5" s="1345" t="s">
        <v>708</v>
      </c>
      <c r="D5" s="1346"/>
      <c r="E5" s="1346"/>
      <c r="F5" s="1346"/>
      <c r="G5" s="1346"/>
      <c r="H5" s="1347"/>
      <c r="I5" s="1333" t="s">
        <v>190</v>
      </c>
      <c r="J5" s="1335" t="s">
        <v>135</v>
      </c>
      <c r="K5" s="1336"/>
      <c r="M5" s="667"/>
    </row>
    <row r="6" spans="3:15" s="543" customFormat="1" ht="27" customHeight="1">
      <c r="C6" s="1343" t="s">
        <v>1278</v>
      </c>
      <c r="D6" s="1344"/>
      <c r="E6" s="463" t="s">
        <v>47</v>
      </c>
      <c r="F6" s="1260" t="s">
        <v>1277</v>
      </c>
      <c r="G6" s="1299"/>
      <c r="H6" s="542" t="s">
        <v>333</v>
      </c>
      <c r="I6" s="1334"/>
      <c r="J6" s="1337"/>
      <c r="K6" s="1338"/>
      <c r="M6" s="744"/>
      <c r="N6" s="744"/>
      <c r="O6" s="744"/>
    </row>
    <row r="7" spans="3:251" s="1141" customFormat="1" ht="26.25" customHeight="1">
      <c r="C7" s="371" t="s">
        <v>891</v>
      </c>
      <c r="D7" s="375" t="s">
        <v>1274</v>
      </c>
      <c r="E7" s="1140" t="s">
        <v>1275</v>
      </c>
      <c r="F7" s="1140" t="s">
        <v>1276</v>
      </c>
      <c r="G7" s="1146" t="s">
        <v>138</v>
      </c>
      <c r="H7" s="547" t="s">
        <v>33</v>
      </c>
      <c r="I7" s="547" t="s">
        <v>33</v>
      </c>
      <c r="J7" s="547" t="s">
        <v>334</v>
      </c>
      <c r="K7" s="547" t="s">
        <v>269</v>
      </c>
      <c r="M7" s="1147" t="s">
        <v>1253</v>
      </c>
      <c r="N7" s="1142"/>
      <c r="O7" s="1142"/>
      <c r="P7" s="1142"/>
      <c r="Q7" s="1142"/>
      <c r="R7" s="1142"/>
      <c r="S7" s="1142"/>
      <c r="T7" s="1142"/>
      <c r="U7" s="1142"/>
      <c r="V7" s="1142"/>
      <c r="W7" s="1142"/>
      <c r="X7" s="1142"/>
      <c r="Y7" s="1142"/>
      <c r="Z7" s="1142"/>
      <c r="AA7" s="1142"/>
      <c r="AB7" s="1142"/>
      <c r="AC7" s="1142"/>
      <c r="AD7" s="1142"/>
      <c r="AE7" s="1142"/>
      <c r="AF7" s="1142"/>
      <c r="AG7" s="1142"/>
      <c r="AH7" s="1142"/>
      <c r="AI7" s="1142"/>
      <c r="AJ7" s="1142"/>
      <c r="AK7" s="1142"/>
      <c r="AL7" s="1142"/>
      <c r="AM7" s="1142"/>
      <c r="AN7" s="1142"/>
      <c r="AO7" s="1142"/>
      <c r="AP7" s="1142"/>
      <c r="AQ7" s="1142"/>
      <c r="AR7" s="1142"/>
      <c r="AS7" s="1142"/>
      <c r="AT7" s="1142"/>
      <c r="AU7" s="1142"/>
      <c r="AV7" s="1142"/>
      <c r="AW7" s="1142"/>
      <c r="AX7" s="1142"/>
      <c r="AY7" s="1142"/>
      <c r="AZ7" s="1142"/>
      <c r="BA7" s="1142"/>
      <c r="BB7" s="1142"/>
      <c r="BC7" s="1142"/>
      <c r="BD7" s="1142"/>
      <c r="BE7" s="1142"/>
      <c r="BF7" s="1142"/>
      <c r="BG7" s="1142"/>
      <c r="BH7" s="1142"/>
      <c r="BI7" s="1142"/>
      <c r="BJ7" s="1142"/>
      <c r="BK7" s="1142"/>
      <c r="BL7" s="1142"/>
      <c r="BM7" s="1142"/>
      <c r="BN7" s="1142"/>
      <c r="BO7" s="1142"/>
      <c r="BP7" s="1142"/>
      <c r="BQ7" s="1142"/>
      <c r="BR7" s="1142"/>
      <c r="BS7" s="1142"/>
      <c r="BT7" s="1142"/>
      <c r="BU7" s="1142"/>
      <c r="BV7" s="1142"/>
      <c r="BW7" s="1142"/>
      <c r="BX7" s="1142"/>
      <c r="BY7" s="1142"/>
      <c r="BZ7" s="1142"/>
      <c r="CA7" s="1142"/>
      <c r="CB7" s="1142"/>
      <c r="CC7" s="1142"/>
      <c r="CD7" s="1142"/>
      <c r="CE7" s="1142"/>
      <c r="CF7" s="1142"/>
      <c r="CG7" s="1142"/>
      <c r="CH7" s="1142"/>
      <c r="CI7" s="1142"/>
      <c r="CJ7" s="1142"/>
      <c r="CK7" s="1142"/>
      <c r="CL7" s="1142"/>
      <c r="CM7" s="1142"/>
      <c r="CN7" s="1142"/>
      <c r="CO7" s="1142"/>
      <c r="CP7" s="1142"/>
      <c r="CQ7" s="1142"/>
      <c r="CR7" s="1142"/>
      <c r="CS7" s="1142"/>
      <c r="CT7" s="1142"/>
      <c r="CU7" s="1142"/>
      <c r="CV7" s="1142"/>
      <c r="CW7" s="1142"/>
      <c r="CX7" s="1142"/>
      <c r="CY7" s="1142"/>
      <c r="CZ7" s="1142"/>
      <c r="DA7" s="1142"/>
      <c r="DB7" s="1142"/>
      <c r="DC7" s="1142"/>
      <c r="DD7" s="1142"/>
      <c r="DE7" s="1142"/>
      <c r="DF7" s="1142"/>
      <c r="DG7" s="1142"/>
      <c r="DH7" s="1142"/>
      <c r="DI7" s="1142"/>
      <c r="DJ7" s="1142"/>
      <c r="DK7" s="1142"/>
      <c r="DL7" s="1142"/>
      <c r="DM7" s="1142"/>
      <c r="DN7" s="1142"/>
      <c r="DO7" s="1142"/>
      <c r="DP7" s="1142"/>
      <c r="DQ7" s="1142"/>
      <c r="DR7" s="1142"/>
      <c r="DS7" s="1142"/>
      <c r="DT7" s="1142"/>
      <c r="DU7" s="1142"/>
      <c r="DV7" s="1142"/>
      <c r="DW7" s="1142"/>
      <c r="DX7" s="1142"/>
      <c r="DY7" s="1142"/>
      <c r="DZ7" s="1142"/>
      <c r="EA7" s="1142"/>
      <c r="EB7" s="1142"/>
      <c r="EC7" s="1142"/>
      <c r="ED7" s="1142"/>
      <c r="EE7" s="1142"/>
      <c r="EF7" s="1142"/>
      <c r="EG7" s="1142"/>
      <c r="EH7" s="1142"/>
      <c r="EI7" s="1142"/>
      <c r="EJ7" s="1142"/>
      <c r="EK7" s="1142"/>
      <c r="EL7" s="1142"/>
      <c r="EM7" s="1142"/>
      <c r="EN7" s="1142"/>
      <c r="EO7" s="1142"/>
      <c r="EP7" s="1142"/>
      <c r="EQ7" s="1142"/>
      <c r="ER7" s="1142"/>
      <c r="ES7" s="1142"/>
      <c r="ET7" s="1142"/>
      <c r="EU7" s="1142"/>
      <c r="EV7" s="1142"/>
      <c r="EW7" s="1142"/>
      <c r="EX7" s="1142"/>
      <c r="EY7" s="1142"/>
      <c r="EZ7" s="1142"/>
      <c r="FA7" s="1142"/>
      <c r="FB7" s="1142"/>
      <c r="FC7" s="1142"/>
      <c r="FD7" s="1142"/>
      <c r="FE7" s="1142"/>
      <c r="FF7" s="1142"/>
      <c r="FG7" s="1142"/>
      <c r="FH7" s="1142"/>
      <c r="FI7" s="1142"/>
      <c r="FJ7" s="1142"/>
      <c r="FK7" s="1142"/>
      <c r="FL7" s="1142"/>
      <c r="FM7" s="1142"/>
      <c r="FN7" s="1142"/>
      <c r="FO7" s="1142"/>
      <c r="FP7" s="1142"/>
      <c r="FQ7" s="1142"/>
      <c r="FR7" s="1142"/>
      <c r="FS7" s="1142"/>
      <c r="FT7" s="1142"/>
      <c r="FU7" s="1142"/>
      <c r="FV7" s="1142"/>
      <c r="FW7" s="1142"/>
      <c r="FX7" s="1142"/>
      <c r="FY7" s="1142"/>
      <c r="FZ7" s="1142"/>
      <c r="GA7" s="1142"/>
      <c r="GB7" s="1142"/>
      <c r="GC7" s="1142"/>
      <c r="GD7" s="1142"/>
      <c r="GE7" s="1142"/>
      <c r="GF7" s="1142"/>
      <c r="GG7" s="1142"/>
      <c r="GH7" s="1142"/>
      <c r="GI7" s="1142"/>
      <c r="GJ7" s="1142"/>
      <c r="GK7" s="1142"/>
      <c r="GL7" s="1142"/>
      <c r="GM7" s="1142"/>
      <c r="GN7" s="1142"/>
      <c r="GO7" s="1142"/>
      <c r="GP7" s="1142"/>
      <c r="GQ7" s="1142"/>
      <c r="GR7" s="1142"/>
      <c r="GS7" s="1142"/>
      <c r="GT7" s="1142"/>
      <c r="GU7" s="1142"/>
      <c r="GV7" s="1142"/>
      <c r="GW7" s="1142"/>
      <c r="GX7" s="1142"/>
      <c r="GY7" s="1142"/>
      <c r="GZ7" s="1142"/>
      <c r="HA7" s="1142"/>
      <c r="HB7" s="1142"/>
      <c r="HC7" s="1142"/>
      <c r="HD7" s="1142"/>
      <c r="HE7" s="1142"/>
      <c r="HF7" s="1142"/>
      <c r="HG7" s="1142"/>
      <c r="HH7" s="1142"/>
      <c r="HI7" s="1142"/>
      <c r="HJ7" s="1142"/>
      <c r="HK7" s="1142"/>
      <c r="HL7" s="1142"/>
      <c r="HM7" s="1142"/>
      <c r="HN7" s="1142"/>
      <c r="HO7" s="1142"/>
      <c r="HP7" s="1142"/>
      <c r="HQ7" s="1142"/>
      <c r="HR7" s="1142"/>
      <c r="HS7" s="1142"/>
      <c r="HT7" s="1142"/>
      <c r="HU7" s="1142"/>
      <c r="HV7" s="1142"/>
      <c r="HW7" s="1142"/>
      <c r="HX7" s="1142"/>
      <c r="HY7" s="1142"/>
      <c r="HZ7" s="1142"/>
      <c r="IA7" s="1142"/>
      <c r="IB7" s="1142"/>
      <c r="IC7" s="1142"/>
      <c r="ID7" s="1142"/>
      <c r="IE7" s="1142"/>
      <c r="IF7" s="1142"/>
      <c r="IG7" s="1142"/>
      <c r="IH7" s="1142"/>
      <c r="II7" s="1142"/>
      <c r="IJ7" s="1142"/>
      <c r="IK7" s="1142"/>
      <c r="IL7" s="1142"/>
      <c r="IM7" s="1142"/>
      <c r="IN7" s="1142"/>
      <c r="IO7" s="1142"/>
      <c r="IP7" s="1142"/>
      <c r="IQ7" s="1142"/>
    </row>
    <row r="8" spans="1:13" s="4" customFormat="1" ht="12.75">
      <c r="A8" s="13" t="s">
        <v>704</v>
      </c>
      <c r="B8"/>
      <c r="C8" s="550">
        <f>GrainCurrent!AD9*0.85</f>
        <v>4.414053862790351</v>
      </c>
      <c r="D8" s="551">
        <f aca="true" t="shared" si="0" ref="D8:D13">C8/$C$14</f>
        <v>0.5868243018737621</v>
      </c>
      <c r="E8" s="1143">
        <f>GrainCurrent!AF9</f>
        <v>26.17123274981638</v>
      </c>
      <c r="F8" s="469">
        <f>GrainCurrent!B9*0.85</f>
        <v>115.52123101331233</v>
      </c>
      <c r="G8" s="178">
        <f>F8/0.74</f>
        <v>156.10977163961127</v>
      </c>
      <c r="H8" s="45">
        <f aca="true" t="shared" si="1" ref="H8:H13">G8*$B$3</f>
        <v>2263591688.7743635</v>
      </c>
      <c r="I8" s="546">
        <f>GrainY!I5</f>
        <v>2736</v>
      </c>
      <c r="J8" s="546">
        <f aca="true" t="shared" si="2" ref="J8:J13">H8/I8</f>
        <v>827336.1435578814</v>
      </c>
      <c r="K8" s="334">
        <f aca="true" t="shared" si="3" ref="K8:K13">J8/1000</f>
        <v>827.3361435578813</v>
      </c>
      <c r="M8" s="19" t="s">
        <v>1238</v>
      </c>
    </row>
    <row r="9" spans="1:13" s="4" customFormat="1" ht="12.75">
      <c r="A9" s="13" t="s">
        <v>705</v>
      </c>
      <c r="B9"/>
      <c r="C9" s="548">
        <f>GrainCurrent!AD9*0.15</f>
        <v>0.7789506816688855</v>
      </c>
      <c r="D9" s="552">
        <f t="shared" si="0"/>
        <v>0.1035572297424286</v>
      </c>
      <c r="E9" s="1144">
        <f>GrainCurrent!AF9</f>
        <v>26.17123274981638</v>
      </c>
      <c r="F9" s="549">
        <f>GrainCurrent!B9*0.15</f>
        <v>20.38609959058453</v>
      </c>
      <c r="G9" s="178">
        <f>F9/0.98</f>
        <v>20.80214243937197</v>
      </c>
      <c r="H9" s="45">
        <f t="shared" si="1"/>
        <v>301631065.37089354</v>
      </c>
      <c r="I9" s="546">
        <f>GrainY!I5</f>
        <v>2736</v>
      </c>
      <c r="J9" s="546">
        <f t="shared" si="2"/>
        <v>110245.27243088213</v>
      </c>
      <c r="K9" s="334">
        <f t="shared" si="3"/>
        <v>110.24527243088214</v>
      </c>
      <c r="M9" s="19" t="s">
        <v>1238</v>
      </c>
    </row>
    <row r="10" spans="1:13" s="4" customFormat="1" ht="12.75">
      <c r="A10" s="13" t="s">
        <v>706</v>
      </c>
      <c r="B10"/>
      <c r="C10" s="49">
        <f>GrainCurrent!AD11</f>
        <v>1.6627992193759418</v>
      </c>
      <c r="D10" s="552">
        <f t="shared" si="0"/>
        <v>0.2210600553137991</v>
      </c>
      <c r="E10" s="1144">
        <f>GrainCurrent!AF11</f>
        <v>19.653605570169194</v>
      </c>
      <c r="F10" s="477">
        <f>GrainCurrent!B11</f>
        <v>32.68</v>
      </c>
      <c r="G10" s="178">
        <f>F10/0.98</f>
        <v>33.3469387755102</v>
      </c>
      <c r="H10" s="45">
        <f t="shared" si="1"/>
        <v>483530612.24489796</v>
      </c>
      <c r="I10" s="546">
        <f>GrainY!I6</f>
        <v>8383.199999999999</v>
      </c>
      <c r="J10" s="546">
        <f t="shared" si="2"/>
        <v>57678.525174742106</v>
      </c>
      <c r="K10" s="334">
        <f t="shared" si="3"/>
        <v>57.678525174742106</v>
      </c>
      <c r="M10" s="19" t="s">
        <v>1238</v>
      </c>
    </row>
    <row r="11" spans="1:13" s="4" customFormat="1" ht="12.75">
      <c r="A11" s="13" t="s">
        <v>802</v>
      </c>
      <c r="B11"/>
      <c r="C11" s="548">
        <f>GrainCurrent!AD12*0.85</f>
        <v>0.46460141051588844</v>
      </c>
      <c r="D11" s="552">
        <f t="shared" si="0"/>
        <v>0.06176621465221585</v>
      </c>
      <c r="E11" s="1144">
        <f>GrainCurrent!AF12</f>
        <v>38.69148575305292</v>
      </c>
      <c r="F11" s="549">
        <f>GrainCurrent!B12*0.85</f>
        <v>17.976118855823792</v>
      </c>
      <c r="G11" s="178">
        <f>(F11/0.9)/(1-0.12)</f>
        <v>22.697119767454282</v>
      </c>
      <c r="H11" s="45">
        <f t="shared" si="1"/>
        <v>329108236.6280871</v>
      </c>
      <c r="I11" s="546">
        <f>GrainY!I7</f>
        <v>7197.2</v>
      </c>
      <c r="J11" s="546">
        <f t="shared" si="2"/>
        <v>45727.26013284154</v>
      </c>
      <c r="K11" s="334">
        <f t="shared" si="3"/>
        <v>45.72726013284154</v>
      </c>
      <c r="M11" s="19" t="s">
        <v>1238</v>
      </c>
    </row>
    <row r="12" spans="1:13" s="4" customFormat="1" ht="12.75">
      <c r="A12" t="s">
        <v>141</v>
      </c>
      <c r="B12"/>
      <c r="C12" s="548">
        <f>GrainCurrent!AD12*0.15</f>
        <v>0.0819884842086862</v>
      </c>
      <c r="D12" s="552">
        <f t="shared" si="0"/>
        <v>0.010899920232743974</v>
      </c>
      <c r="E12" s="1144">
        <f>GrainCurrent!AF12</f>
        <v>38.69148575305292</v>
      </c>
      <c r="F12" s="549">
        <f>GrainCurrent!B12*0.15</f>
        <v>3.172256268674787</v>
      </c>
      <c r="G12" s="178">
        <f>F12/0.9</f>
        <v>3.5247291874164297</v>
      </c>
      <c r="H12" s="45">
        <f t="shared" si="1"/>
        <v>51108573.21753823</v>
      </c>
      <c r="I12" s="546">
        <f>GrainY!I7</f>
        <v>7197.2</v>
      </c>
      <c r="J12" s="546">
        <f t="shared" si="2"/>
        <v>7101.174514747156</v>
      </c>
      <c r="K12" s="334">
        <f t="shared" si="3"/>
        <v>7.101174514747155</v>
      </c>
      <c r="M12" s="19" t="s">
        <v>1238</v>
      </c>
    </row>
    <row r="13" spans="1:13" s="4" customFormat="1" ht="12.75">
      <c r="A13" s="65" t="s">
        <v>707</v>
      </c>
      <c r="B13" s="3"/>
      <c r="C13" s="598">
        <f>GrainCurrent!AD14</f>
        <v>0.11954067288500034</v>
      </c>
      <c r="D13" s="553">
        <f t="shared" si="0"/>
        <v>0.015892278185050294</v>
      </c>
      <c r="E13" s="1145">
        <f>GrainCurrent!AF14</f>
        <v>39.27772038567494</v>
      </c>
      <c r="F13" s="478">
        <f>GrainCurrent!B14</f>
        <v>4.695285124292477</v>
      </c>
      <c r="G13" s="179">
        <f>13/0.98</f>
        <v>13.26530612244898</v>
      </c>
      <c r="H13" s="45">
        <f t="shared" si="1"/>
        <v>192346938.7755102</v>
      </c>
      <c r="I13" s="546">
        <f>GrainY!I8</f>
        <v>2010.8799999999999</v>
      </c>
      <c r="J13" s="546">
        <f t="shared" si="2"/>
        <v>95653.11643435223</v>
      </c>
      <c r="K13" s="334">
        <f t="shared" si="3"/>
        <v>95.65311643435223</v>
      </c>
      <c r="M13" s="19" t="s">
        <v>1238</v>
      </c>
    </row>
    <row r="14" spans="1:11" s="4" customFormat="1" ht="12.75">
      <c r="A14" t="s">
        <v>134</v>
      </c>
      <c r="B14" s="58"/>
      <c r="C14" s="49">
        <f>SUM(C8:C13)</f>
        <v>7.521934331444754</v>
      </c>
      <c r="D14" s="5"/>
      <c r="F14" s="1">
        <f>SUM(F8:F13)</f>
        <v>194.43099085268793</v>
      </c>
      <c r="G14" s="45">
        <f>SUM(G8:G13)</f>
        <v>249.74600793181315</v>
      </c>
      <c r="H14" s="180">
        <f>SUM(H8:H13)</f>
        <v>3621317115.0112906</v>
      </c>
      <c r="I14" s="545"/>
      <c r="J14" s="545">
        <f>SUM(J8:J13)</f>
        <v>1143741.4922454464</v>
      </c>
      <c r="K14" s="404">
        <f>SUM(K8:K13)</f>
        <v>1143.7414922454464</v>
      </c>
    </row>
    <row r="15" spans="1:12" s="4" customFormat="1" ht="12.75">
      <c r="A15"/>
      <c r="B15" s="58"/>
      <c r="C15" s="58"/>
      <c r="D15" s="554"/>
      <c r="E15" s="554"/>
      <c r="F15" s="575"/>
      <c r="G15" s="33"/>
      <c r="H15" s="33"/>
      <c r="I15" s="33"/>
      <c r="J15" s="33"/>
      <c r="K15" s="33"/>
      <c r="L15" s="6"/>
    </row>
    <row r="16" spans="1:13" s="4" customFormat="1" ht="24">
      <c r="A16"/>
      <c r="B16"/>
      <c r="C16" s="1339" t="s">
        <v>833</v>
      </c>
      <c r="D16" s="1339"/>
      <c r="E16" s="1140" t="s">
        <v>47</v>
      </c>
      <c r="F16" s="1140" t="s">
        <v>1282</v>
      </c>
      <c r="G16" s="1140" t="s">
        <v>1283</v>
      </c>
      <c r="H16" s="1140" t="s">
        <v>481</v>
      </c>
      <c r="I16" s="1140" t="s">
        <v>190</v>
      </c>
      <c r="J16" s="1340" t="s">
        <v>709</v>
      </c>
      <c r="K16" s="1341"/>
      <c r="L16" s="6"/>
      <c r="M16" s="1147" t="s">
        <v>1253</v>
      </c>
    </row>
    <row r="17" spans="1:13" s="4" customFormat="1" ht="25.5" customHeight="1">
      <c r="A17"/>
      <c r="B17"/>
      <c r="C17" s="1267" t="s">
        <v>43</v>
      </c>
      <c r="D17" s="1267"/>
      <c r="E17" s="1140" t="s">
        <v>1275</v>
      </c>
      <c r="F17" s="1140" t="s">
        <v>33</v>
      </c>
      <c r="G17" s="1140" t="s">
        <v>33</v>
      </c>
      <c r="H17" s="1146" t="s">
        <v>33</v>
      </c>
      <c r="I17" s="1146" t="s">
        <v>170</v>
      </c>
      <c r="J17" s="1146" t="s">
        <v>334</v>
      </c>
      <c r="K17" s="1146" t="s">
        <v>269</v>
      </c>
      <c r="L17" s="667"/>
      <c r="M17" s="19" t="s">
        <v>1238</v>
      </c>
    </row>
    <row r="18" spans="1:12" s="4" customFormat="1" ht="12.75">
      <c r="A18" s="4" t="s">
        <v>4</v>
      </c>
      <c r="C18" s="1342">
        <f>Alcohol!B13</f>
        <v>21.704338116384786</v>
      </c>
      <c r="D18" s="1342"/>
      <c r="E18" s="334">
        <v>2</v>
      </c>
      <c r="F18" s="34">
        <f>E18*C18</f>
        <v>43.40867623276957</v>
      </c>
      <c r="G18" s="34">
        <f>F18*(1+(1-0.85))</f>
        <v>49.919977667685004</v>
      </c>
      <c r="H18" s="35">
        <f>G18*B3</f>
        <v>723839676.1814326</v>
      </c>
      <c r="I18" s="546">
        <f>GrainY!I9</f>
        <v>3410.88</v>
      </c>
      <c r="J18" s="546">
        <f>H18/I18</f>
        <v>212214.934615534</v>
      </c>
      <c r="K18" s="34">
        <f>J18/1000</f>
        <v>212.214934615534</v>
      </c>
      <c r="L18" s="34"/>
    </row>
    <row r="19" spans="1:11" s="4" customFormat="1" ht="13.5" thickBot="1">
      <c r="A19"/>
      <c r="B19"/>
      <c r="C19"/>
      <c r="D19"/>
      <c r="E19"/>
      <c r="F19" s="33"/>
      <c r="G19" s="33"/>
      <c r="H19" s="33"/>
      <c r="I19" s="33"/>
      <c r="J19" s="33"/>
      <c r="K19" s="34"/>
    </row>
    <row r="20" spans="1:15" ht="13.5" thickBot="1">
      <c r="A20" s="556" t="s">
        <v>142</v>
      </c>
      <c r="B20" s="445"/>
      <c r="C20" s="445"/>
      <c r="D20" s="445"/>
      <c r="E20" s="445"/>
      <c r="F20" s="557"/>
      <c r="G20" s="557"/>
      <c r="H20" s="557"/>
      <c r="I20" s="558">
        <f>H14+I18</f>
        <v>3621320525.8912907</v>
      </c>
      <c r="J20" s="558">
        <f>J14+J18</f>
        <v>1355956.4268609805</v>
      </c>
      <c r="K20" s="757">
        <f>J20/1000</f>
        <v>1355.9564268609804</v>
      </c>
      <c r="N20" s="4"/>
      <c r="O20" s="4"/>
    </row>
    <row r="21" spans="12:15" ht="12.75">
      <c r="L21" s="406"/>
      <c r="N21" s="4"/>
      <c r="O21" s="4"/>
    </row>
    <row r="22" ht="12.75">
      <c r="A22" s="13"/>
    </row>
    <row r="23" ht="12.75">
      <c r="A23" t="s">
        <v>1281</v>
      </c>
    </row>
    <row r="24" ht="12.75">
      <c r="A24" s="13" t="s">
        <v>1279</v>
      </c>
    </row>
    <row r="25" ht="12.75">
      <c r="A25" s="13" t="s">
        <v>1280</v>
      </c>
    </row>
    <row r="26" ht="12.75">
      <c r="A26" s="13" t="s">
        <v>1369</v>
      </c>
    </row>
  </sheetData>
  <sheetProtection/>
  <mergeCells count="9">
    <mergeCell ref="I5:I6"/>
    <mergeCell ref="J5:K6"/>
    <mergeCell ref="C16:D16"/>
    <mergeCell ref="J16:K16"/>
    <mergeCell ref="C17:D17"/>
    <mergeCell ref="C18:D18"/>
    <mergeCell ref="F6:G6"/>
    <mergeCell ref="C6:D6"/>
    <mergeCell ref="C5:H5"/>
  </mergeCells>
  <printOptions/>
  <pageMargins left="0.7" right="0.7" top="0.75" bottom="0.75" header="0.3" footer="0.3"/>
  <pageSetup orientation="portrait"/>
  <legacyDrawing r:id="rId2"/>
</worksheet>
</file>

<file path=xl/worksheets/sheet12.xml><?xml version="1.0" encoding="utf-8"?>
<worksheet xmlns="http://schemas.openxmlformats.org/spreadsheetml/2006/main" xmlns:r="http://schemas.openxmlformats.org/officeDocument/2006/relationships">
  <dimension ref="A1:AF17"/>
  <sheetViews>
    <sheetView zoomScalePageLayoutView="0" workbookViewId="0" topLeftCell="A1">
      <selection activeCell="AD32" sqref="AD32"/>
    </sheetView>
  </sheetViews>
  <sheetFormatPr defaultColWidth="8.8515625" defaultRowHeight="12.75"/>
  <cols>
    <col min="1" max="1" width="11.8515625" style="0" customWidth="1"/>
    <col min="2" max="2" width="8.8515625" style="0" customWidth="1"/>
    <col min="3" max="3" width="2.7109375" style="0" hidden="1" customWidth="1"/>
    <col min="4" max="4" width="9.140625" style="0" hidden="1" customWidth="1"/>
    <col min="5" max="5" width="2.7109375" style="0" hidden="1" customWidth="1"/>
    <col min="6" max="6" width="9.140625" style="0" hidden="1" customWidth="1"/>
    <col min="7" max="7" width="2.7109375" style="0" hidden="1" customWidth="1"/>
    <col min="8" max="8" width="9.140625" style="0" hidden="1" customWidth="1"/>
    <col min="9" max="9" width="2.7109375" style="0" hidden="1" customWidth="1"/>
    <col min="10" max="10" width="9.140625" style="0" hidden="1" customWidth="1"/>
    <col min="11" max="11" width="2.7109375" style="0" hidden="1" customWidth="1"/>
    <col min="12" max="15" width="9.140625" style="0" hidden="1" customWidth="1"/>
    <col min="16" max="16" width="8.8515625" style="0" customWidth="1"/>
    <col min="17" max="17" width="9.140625" style="0" hidden="1" customWidth="1"/>
    <col min="18" max="18" width="8.8515625" style="0" customWidth="1"/>
    <col min="19" max="19" width="9.140625" style="0" hidden="1" customWidth="1"/>
    <col min="20" max="20" width="8.8515625" style="0" customWidth="1"/>
    <col min="21" max="21" width="9.140625" style="0" hidden="1" customWidth="1"/>
    <col min="22" max="22" width="8.8515625" style="0" customWidth="1"/>
    <col min="23" max="23" width="9.140625" style="0" hidden="1" customWidth="1"/>
    <col min="24" max="24" width="9.140625" style="0" customWidth="1"/>
    <col min="25" max="25" width="9.140625" style="0" hidden="1" customWidth="1"/>
    <col min="26" max="26" width="9.140625" style="0" customWidth="1"/>
    <col min="27" max="27" width="9.140625" style="0" hidden="1" customWidth="1"/>
    <col min="28" max="28" width="8.8515625" style="0" customWidth="1"/>
    <col min="29" max="29" width="9.140625" style="0" hidden="1" customWidth="1"/>
    <col min="30" max="30" width="9.140625" style="0" customWidth="1"/>
    <col min="31" max="31" width="9.140625" style="0" hidden="1" customWidth="1"/>
    <col min="32" max="32" width="13.00390625" style="0" customWidth="1"/>
  </cols>
  <sheetData>
    <row r="1" ht="15.75">
      <c r="A1" s="229" t="s">
        <v>693</v>
      </c>
    </row>
    <row r="2" ht="12.75">
      <c r="A2" s="13" t="s">
        <v>276</v>
      </c>
    </row>
    <row r="3" ht="12.75">
      <c r="A3" s="4"/>
    </row>
    <row r="4" spans="1:32" s="72" customFormat="1" ht="12" customHeight="1">
      <c r="A4" s="1318"/>
      <c r="B4" s="1315" t="s">
        <v>194</v>
      </c>
      <c r="C4" s="1316"/>
      <c r="D4" s="1303" t="s">
        <v>195</v>
      </c>
      <c r="E4" s="1316"/>
      <c r="F4" s="1315" t="s">
        <v>196</v>
      </c>
      <c r="G4" s="1316"/>
      <c r="H4" s="1315" t="s">
        <v>197</v>
      </c>
      <c r="I4" s="1316"/>
      <c r="J4" s="1315" t="s">
        <v>198</v>
      </c>
      <c r="K4" s="1316"/>
      <c r="L4" s="1321" t="s">
        <v>199</v>
      </c>
      <c r="M4" s="1322"/>
      <c r="N4" s="1322"/>
      <c r="O4" s="1323"/>
      <c r="P4" s="1315" t="s">
        <v>200</v>
      </c>
      <c r="Q4" s="1316"/>
      <c r="R4" s="1303" t="s">
        <v>201</v>
      </c>
      <c r="S4" s="1304"/>
      <c r="T4" s="1304"/>
      <c r="U4" s="1304"/>
      <c r="V4" s="1304"/>
      <c r="W4" s="1325"/>
      <c r="X4" s="1315" t="s">
        <v>694</v>
      </c>
      <c r="Y4" s="1325"/>
      <c r="Z4" s="1315" t="s">
        <v>695</v>
      </c>
      <c r="AA4" s="1257"/>
      <c r="AB4" s="1303" t="s">
        <v>202</v>
      </c>
      <c r="AC4" s="1325"/>
      <c r="AD4" s="1303" t="s">
        <v>686</v>
      </c>
      <c r="AE4" s="1304"/>
      <c r="AF4" s="1348" t="s">
        <v>47</v>
      </c>
    </row>
    <row r="5" spans="1:32" s="72" customFormat="1" ht="12" customHeight="1">
      <c r="A5" s="1318"/>
      <c r="B5" s="1317"/>
      <c r="C5" s="1318"/>
      <c r="D5" s="1317"/>
      <c r="E5" s="1318"/>
      <c r="F5" s="1317"/>
      <c r="G5" s="1318"/>
      <c r="H5" s="1317"/>
      <c r="I5" s="1318"/>
      <c r="J5" s="1317"/>
      <c r="K5" s="1318"/>
      <c r="L5" s="1315" t="s">
        <v>203</v>
      </c>
      <c r="M5" s="1316"/>
      <c r="N5" s="1315" t="s">
        <v>204</v>
      </c>
      <c r="O5" s="1316"/>
      <c r="P5" s="1317"/>
      <c r="Q5" s="1318"/>
      <c r="R5" s="1305"/>
      <c r="S5" s="1306"/>
      <c r="T5" s="1306"/>
      <c r="U5" s="1306"/>
      <c r="V5" s="1306"/>
      <c r="W5" s="1326"/>
      <c r="X5" s="1305"/>
      <c r="Y5" s="1326"/>
      <c r="Z5" s="1305"/>
      <c r="AA5" s="1306"/>
      <c r="AB5" s="1305"/>
      <c r="AC5" s="1326"/>
      <c r="AD5" s="1305"/>
      <c r="AE5" s="1306"/>
      <c r="AF5" s="1349"/>
    </row>
    <row r="6" spans="1:32" s="72" customFormat="1" ht="12" customHeight="1">
      <c r="A6" s="1318"/>
      <c r="B6" s="1317"/>
      <c r="C6" s="1318"/>
      <c r="D6" s="1317"/>
      <c r="E6" s="1318"/>
      <c r="F6" s="1317"/>
      <c r="G6" s="1318"/>
      <c r="H6" s="1317"/>
      <c r="I6" s="1318"/>
      <c r="J6" s="1317"/>
      <c r="K6" s="1318"/>
      <c r="L6" s="1317"/>
      <c r="M6" s="1318"/>
      <c r="N6" s="1317"/>
      <c r="O6" s="1318"/>
      <c r="P6" s="1317"/>
      <c r="Q6" s="1318"/>
      <c r="R6" s="1305"/>
      <c r="S6" s="1306"/>
      <c r="T6" s="1306"/>
      <c r="U6" s="1306"/>
      <c r="V6" s="1306"/>
      <c r="W6" s="1326"/>
      <c r="X6" s="1305"/>
      <c r="Y6" s="1326"/>
      <c r="Z6" s="1305"/>
      <c r="AA6" s="1306"/>
      <c r="AB6" s="1305"/>
      <c r="AC6" s="1326"/>
      <c r="AD6" s="1305"/>
      <c r="AE6" s="1306"/>
      <c r="AF6" s="1349"/>
    </row>
    <row r="7" spans="1:32" s="72" customFormat="1" ht="21" customHeight="1">
      <c r="A7" s="1318"/>
      <c r="B7" s="1319"/>
      <c r="C7" s="1320"/>
      <c r="D7" s="1319"/>
      <c r="E7" s="1320"/>
      <c r="F7" s="1319"/>
      <c r="G7" s="1320"/>
      <c r="H7" s="1319"/>
      <c r="I7" s="1320"/>
      <c r="J7" s="1319"/>
      <c r="K7" s="1320"/>
      <c r="L7" s="1319"/>
      <c r="M7" s="1320"/>
      <c r="N7" s="1319"/>
      <c r="O7" s="1320"/>
      <c r="P7" s="1319"/>
      <c r="Q7" s="1320"/>
      <c r="R7" s="1307"/>
      <c r="S7" s="1308"/>
      <c r="T7" s="1308"/>
      <c r="U7" s="1308"/>
      <c r="V7" s="1308"/>
      <c r="W7" s="1327"/>
      <c r="X7" s="1307"/>
      <c r="Y7" s="1327"/>
      <c r="Z7" s="1307"/>
      <c r="AA7" s="1308"/>
      <c r="AB7" s="1307"/>
      <c r="AC7" s="1327"/>
      <c r="AD7" s="1307"/>
      <c r="AE7" s="1308"/>
      <c r="AF7" s="1350"/>
    </row>
    <row r="8" spans="1:32" s="72" customFormat="1" ht="21.75" customHeight="1">
      <c r="A8" s="410"/>
      <c r="B8" s="1300" t="s">
        <v>582</v>
      </c>
      <c r="C8" s="1300"/>
      <c r="D8" s="1300" t="s">
        <v>583</v>
      </c>
      <c r="E8" s="1300"/>
      <c r="F8" s="1300" t="s">
        <v>582</v>
      </c>
      <c r="G8" s="1300"/>
      <c r="H8" s="1300" t="s">
        <v>583</v>
      </c>
      <c r="I8" s="1300"/>
      <c r="J8" s="1300" t="s">
        <v>582</v>
      </c>
      <c r="K8" s="1300"/>
      <c r="L8" s="1300" t="s">
        <v>583</v>
      </c>
      <c r="M8" s="1300"/>
      <c r="N8" s="1300" t="s">
        <v>583</v>
      </c>
      <c r="O8" s="1300"/>
      <c r="P8" s="1300" t="s">
        <v>583</v>
      </c>
      <c r="Q8" s="1300"/>
      <c r="R8" s="1300" t="s">
        <v>582</v>
      </c>
      <c r="S8" s="1300"/>
      <c r="T8" s="1300" t="s">
        <v>137</v>
      </c>
      <c r="U8" s="1300"/>
      <c r="V8" s="1300" t="s">
        <v>584</v>
      </c>
      <c r="W8" s="1300"/>
      <c r="X8" s="1300" t="s">
        <v>585</v>
      </c>
      <c r="Y8" s="1300"/>
      <c r="Z8" s="1300" t="s">
        <v>205</v>
      </c>
      <c r="AA8" s="1300"/>
      <c r="AB8" s="1300" t="s">
        <v>585</v>
      </c>
      <c r="AC8" s="1300"/>
      <c r="AD8" s="1300" t="s">
        <v>696</v>
      </c>
      <c r="AE8" s="1300"/>
      <c r="AF8" s="1116" t="s">
        <v>687</v>
      </c>
    </row>
    <row r="9" spans="1:32" ht="12.75">
      <c r="A9" s="13" t="s">
        <v>697</v>
      </c>
      <c r="B9" s="382">
        <v>135.90733060389687</v>
      </c>
      <c r="C9" s="382"/>
      <c r="D9" s="382"/>
      <c r="E9" s="382"/>
      <c r="F9" s="382">
        <v>135.90733060389687</v>
      </c>
      <c r="G9" s="382"/>
      <c r="H9" s="382"/>
      <c r="I9" s="382"/>
      <c r="J9" s="382">
        <v>119.59845093142926</v>
      </c>
      <c r="K9" s="382"/>
      <c r="L9" s="382"/>
      <c r="M9" s="382"/>
      <c r="N9" s="382"/>
      <c r="O9" s="382"/>
      <c r="P9" s="382">
        <v>29.6</v>
      </c>
      <c r="Q9" s="382"/>
      <c r="R9" s="382">
        <v>95.6787607451434</v>
      </c>
      <c r="S9" s="382"/>
      <c r="T9" s="382">
        <v>4.194137457321355</v>
      </c>
      <c r="U9" s="382"/>
      <c r="V9" s="382">
        <v>118.90169984633174</v>
      </c>
      <c r="W9" s="382"/>
      <c r="X9" s="382">
        <f>AB9/AD9</f>
        <v>83.6225237211768</v>
      </c>
      <c r="Y9" s="382"/>
      <c r="AA9" s="382"/>
      <c r="AB9" s="382">
        <v>434.2521457032215</v>
      </c>
      <c r="AC9" s="382"/>
      <c r="AD9" s="382">
        <v>5.193004544459237</v>
      </c>
      <c r="AF9" s="301">
        <f>B9/AD9</f>
        <v>26.17123274981638</v>
      </c>
    </row>
    <row r="10" spans="1:32" ht="12.75">
      <c r="A10" s="71" t="s">
        <v>139</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F10" s="301"/>
    </row>
    <row r="11" spans="1:32" ht="12.75">
      <c r="A11" s="13" t="s">
        <v>698</v>
      </c>
      <c r="B11" s="382">
        <v>32.68</v>
      </c>
      <c r="C11" s="382"/>
      <c r="D11" s="382">
        <v>32.68</v>
      </c>
      <c r="E11" s="382"/>
      <c r="F11" s="382">
        <v>28.758400000000005</v>
      </c>
      <c r="G11" s="382"/>
      <c r="H11" s="382">
        <v>29.599999999999994</v>
      </c>
      <c r="I11" s="382"/>
      <c r="O11" s="382"/>
      <c r="P11" s="382">
        <v>29.599999999999994</v>
      </c>
      <c r="Q11" s="382"/>
      <c r="R11" s="382">
        <v>23.00672</v>
      </c>
      <c r="S11" s="382"/>
      <c r="T11" s="382">
        <v>1.0085137534246578</v>
      </c>
      <c r="U11" s="382"/>
      <c r="V11" s="382">
        <v>28.59086065271233</v>
      </c>
      <c r="W11" s="382"/>
      <c r="X11" s="382">
        <f>AB11/AD11</f>
        <v>63.77880868202052</v>
      </c>
      <c r="Y11" s="382"/>
      <c r="Z11" s="382"/>
      <c r="AA11" s="382"/>
      <c r="AB11" s="382">
        <v>106.05135328919125</v>
      </c>
      <c r="AC11" s="382"/>
      <c r="AD11" s="382">
        <v>1.6627992193759418</v>
      </c>
      <c r="AF11" s="301">
        <f>B11/AD11</f>
        <v>19.653605570169194</v>
      </c>
    </row>
    <row r="12" spans="1:32" ht="12.75">
      <c r="A12" s="13" t="s">
        <v>699</v>
      </c>
      <c r="B12" s="382">
        <v>21.14837512449858</v>
      </c>
      <c r="C12" s="382"/>
      <c r="D12" s="382">
        <v>0</v>
      </c>
      <c r="E12" s="382"/>
      <c r="F12" s="382">
        <v>21.14837512449858</v>
      </c>
      <c r="G12" s="382"/>
      <c r="H12" s="382">
        <v>12</v>
      </c>
      <c r="I12" s="382"/>
      <c r="J12" s="382">
        <v>18.610570109558743</v>
      </c>
      <c r="K12" s="382"/>
      <c r="L12" s="382">
        <v>0</v>
      </c>
      <c r="M12" s="382"/>
      <c r="N12" s="382">
        <v>33</v>
      </c>
      <c r="O12" s="382"/>
      <c r="P12" s="382">
        <v>41.04</v>
      </c>
      <c r="Q12" s="382"/>
      <c r="R12" s="382">
        <v>12.46908197340436</v>
      </c>
      <c r="S12" s="382"/>
      <c r="T12" s="382">
        <v>0.5465898947245746</v>
      </c>
      <c r="U12" s="382"/>
      <c r="V12" s="382">
        <v>15.495550220494328</v>
      </c>
      <c r="W12" s="382"/>
      <c r="X12" s="382">
        <v>103</v>
      </c>
      <c r="Y12" s="382"/>
      <c r="Z12" s="382">
        <v>28.3495</v>
      </c>
      <c r="AA12" s="382"/>
      <c r="AB12" s="382">
        <v>56.29875915663119</v>
      </c>
      <c r="AC12" s="382"/>
      <c r="AD12" s="382">
        <v>0.5465898947245746</v>
      </c>
      <c r="AF12" s="301">
        <f>B12/AD12</f>
        <v>38.69148575305292</v>
      </c>
    </row>
    <row r="13" spans="1:32" ht="12.75">
      <c r="A13" s="71" t="s">
        <v>700</v>
      </c>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F13" s="301"/>
    </row>
    <row r="14" spans="1:32" ht="12.75">
      <c r="A14" s="13" t="s">
        <v>701</v>
      </c>
      <c r="B14" s="382">
        <v>4.695285124292477</v>
      </c>
      <c r="C14" s="382"/>
      <c r="D14" s="382">
        <v>0</v>
      </c>
      <c r="E14" s="382"/>
      <c r="F14" s="382">
        <v>4.695285124292477</v>
      </c>
      <c r="G14" s="382"/>
      <c r="H14" s="382">
        <v>12</v>
      </c>
      <c r="I14" s="382"/>
      <c r="J14" s="382">
        <v>4.131850909377379</v>
      </c>
      <c r="K14" s="382"/>
      <c r="L14" s="382">
        <v>20</v>
      </c>
      <c r="M14" s="382"/>
      <c r="N14" s="382">
        <v>14</v>
      </c>
      <c r="O14" s="382"/>
      <c r="P14" s="382">
        <v>41.919999999999995</v>
      </c>
      <c r="Q14" s="382"/>
      <c r="R14" s="382">
        <v>2.72702160018907</v>
      </c>
      <c r="S14" s="382"/>
      <c r="T14" s="382">
        <v>0.11954067288500034</v>
      </c>
      <c r="U14" s="382"/>
      <c r="V14" s="382">
        <v>3.388918305953317</v>
      </c>
      <c r="W14" s="382"/>
      <c r="X14" s="382">
        <v>105</v>
      </c>
      <c r="Y14" s="382"/>
      <c r="Z14" s="382">
        <v>28.3495</v>
      </c>
      <c r="AA14" s="382"/>
      <c r="AB14" s="382">
        <v>12.551770652925034</v>
      </c>
      <c r="AC14" s="382"/>
      <c r="AD14" s="382">
        <v>0.11954067288500034</v>
      </c>
      <c r="AF14" s="301">
        <f>B14/AD14</f>
        <v>39.27772038567494</v>
      </c>
    </row>
    <row r="15" spans="1:32" ht="12.75">
      <c r="A15" s="13" t="s">
        <v>702</v>
      </c>
      <c r="B15" s="345">
        <v>0.6728610785739075</v>
      </c>
      <c r="C15" s="345"/>
      <c r="D15" s="345">
        <v>0</v>
      </c>
      <c r="E15" s="345"/>
      <c r="F15" s="345">
        <v>0.6728610785739075</v>
      </c>
      <c r="G15" s="345"/>
      <c r="H15" s="345">
        <v>12</v>
      </c>
      <c r="I15" s="345"/>
      <c r="J15" s="345">
        <v>0.5921177491450387</v>
      </c>
      <c r="K15" s="345"/>
      <c r="L15" s="345">
        <v>20</v>
      </c>
      <c r="M15" s="476"/>
      <c r="N15" s="345">
        <v>14</v>
      </c>
      <c r="O15" s="345"/>
      <c r="P15" s="345">
        <v>41.92</v>
      </c>
      <c r="Q15" s="345"/>
      <c r="R15" s="345">
        <v>0.39079771443572553</v>
      </c>
      <c r="S15" s="345"/>
      <c r="T15" s="345">
        <v>0.017130858714990708</v>
      </c>
      <c r="U15" s="382"/>
      <c r="V15" s="345">
        <v>0.4856512791406291</v>
      </c>
      <c r="W15" s="382"/>
      <c r="X15" s="345">
        <v>100</v>
      </c>
      <c r="Y15" s="382"/>
      <c r="Z15" s="345">
        <v>28.3495</v>
      </c>
      <c r="AA15" s="382"/>
      <c r="AB15" s="345">
        <v>1.7130858714990709</v>
      </c>
      <c r="AC15" s="382"/>
      <c r="AD15" s="345">
        <v>0.017130858714990708</v>
      </c>
      <c r="AF15" s="301">
        <f>B15/AD15</f>
        <v>39.277720385674925</v>
      </c>
    </row>
    <row r="16" spans="1:32" ht="12.75">
      <c r="A16" s="13" t="s">
        <v>703</v>
      </c>
      <c r="B16" s="382">
        <v>0.4831885225981405</v>
      </c>
      <c r="C16" s="382"/>
      <c r="D16" s="382">
        <v>0</v>
      </c>
      <c r="E16" s="382"/>
      <c r="F16" s="382">
        <v>0.4831885225981405</v>
      </c>
      <c r="G16" s="382"/>
      <c r="H16" s="382">
        <v>12</v>
      </c>
      <c r="I16" s="382"/>
      <c r="J16" s="382">
        <v>0.4252058998863636</v>
      </c>
      <c r="K16" s="382"/>
      <c r="L16" s="382">
        <v>0</v>
      </c>
      <c r="M16" s="382"/>
      <c r="N16" s="382">
        <v>20</v>
      </c>
      <c r="O16" s="382"/>
      <c r="P16" s="382">
        <v>29.6</v>
      </c>
      <c r="Q16" s="382"/>
      <c r="R16" s="382">
        <v>0.3401647199090909</v>
      </c>
      <c r="S16" s="382"/>
      <c r="T16" s="382">
        <v>0.014911330187795769</v>
      </c>
      <c r="U16" s="382"/>
      <c r="V16" s="382">
        <v>0.42272875515891606</v>
      </c>
      <c r="W16" s="382"/>
      <c r="X16" s="382">
        <v>80</v>
      </c>
      <c r="Y16" s="382"/>
      <c r="Z16" s="382">
        <v>22.4826388888</v>
      </c>
      <c r="AA16" s="382"/>
      <c r="AB16" s="382">
        <v>1.504196219135125</v>
      </c>
      <c r="AC16" s="382"/>
      <c r="AD16" s="382">
        <v>0.01880245273918906</v>
      </c>
      <c r="AF16" s="301">
        <f>B16/AD16</f>
        <v>25.698164452292627</v>
      </c>
    </row>
    <row r="17" spans="1:32" ht="12.75">
      <c r="A17" s="11"/>
      <c r="B17" s="369">
        <f>SUM(B9:B16)</f>
        <v>195.58704045385997</v>
      </c>
      <c r="C17" s="11"/>
      <c r="D17" s="11"/>
      <c r="E17" s="11"/>
      <c r="F17" s="11"/>
      <c r="G17" s="11"/>
      <c r="H17" s="11"/>
      <c r="I17" s="11"/>
      <c r="J17" s="11"/>
      <c r="K17" s="11"/>
      <c r="L17" s="11"/>
      <c r="M17" s="11"/>
      <c r="N17" s="11"/>
      <c r="O17" s="11"/>
      <c r="P17" s="422">
        <f>1-(R17/B17)</f>
        <v>0.31175119557659303</v>
      </c>
      <c r="Q17" s="11"/>
      <c r="R17" s="369">
        <f>SUM(R9:R16)</f>
        <v>134.61254675308166</v>
      </c>
      <c r="S17" s="11"/>
      <c r="T17" s="369">
        <f>SUM(T9:T16)</f>
        <v>5.900823967258373</v>
      </c>
      <c r="U17" s="11"/>
      <c r="V17" s="369">
        <f>SUM(V9:V16)</f>
        <v>167.28540905979125</v>
      </c>
      <c r="W17" s="11"/>
      <c r="X17" s="11"/>
      <c r="Y17" s="11"/>
      <c r="Z17" s="11"/>
      <c r="AA17" s="11"/>
      <c r="AB17" s="369">
        <f>SUM(AB9:AB16)</f>
        <v>612.3713108926031</v>
      </c>
      <c r="AC17" s="11"/>
      <c r="AD17" s="369">
        <f>SUM(AD9:AD16)</f>
        <v>7.557867642898933</v>
      </c>
      <c r="AF17" s="301">
        <f>B17/AD17</f>
        <v>25.878600909030954</v>
      </c>
    </row>
  </sheetData>
  <sheetProtection/>
  <mergeCells count="31">
    <mergeCell ref="A4:A7"/>
    <mergeCell ref="B4:C7"/>
    <mergeCell ref="D4:E7"/>
    <mergeCell ref="F4:G7"/>
    <mergeCell ref="H4:I7"/>
    <mergeCell ref="J4:K7"/>
    <mergeCell ref="L4:O4"/>
    <mergeCell ref="P4:Q7"/>
    <mergeCell ref="R4:W7"/>
    <mergeCell ref="X4:Y7"/>
    <mergeCell ref="Z4:AA7"/>
    <mergeCell ref="AB4:AC7"/>
    <mergeCell ref="AD4:AE7"/>
    <mergeCell ref="AF4:AF7"/>
    <mergeCell ref="L5:M7"/>
    <mergeCell ref="N5:O7"/>
    <mergeCell ref="B8:C8"/>
    <mergeCell ref="D8:E8"/>
    <mergeCell ref="F8:G8"/>
    <mergeCell ref="H8:I8"/>
    <mergeCell ref="J8:K8"/>
    <mergeCell ref="L8:M8"/>
    <mergeCell ref="Z8:AA8"/>
    <mergeCell ref="AB8:AC8"/>
    <mergeCell ref="AD8:AE8"/>
    <mergeCell ref="N8:O8"/>
    <mergeCell ref="P8:Q8"/>
    <mergeCell ref="R8:S8"/>
    <mergeCell ref="T8:U8"/>
    <mergeCell ref="V8:W8"/>
    <mergeCell ref="X8:Y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22"/>
  <sheetViews>
    <sheetView zoomScalePageLayoutView="0" workbookViewId="0" topLeftCell="A1">
      <selection activeCell="F9" sqref="F9"/>
    </sheetView>
  </sheetViews>
  <sheetFormatPr defaultColWidth="8.8515625" defaultRowHeight="12.75"/>
  <cols>
    <col min="1" max="1" width="12.421875" style="0" customWidth="1"/>
    <col min="2" max="6" width="8.8515625" style="0" customWidth="1"/>
    <col min="7" max="7" width="11.421875" style="0" customWidth="1"/>
    <col min="8" max="8" width="12.421875" style="0" customWidth="1"/>
    <col min="9" max="9" width="10.8515625" style="0" customWidth="1"/>
  </cols>
  <sheetData>
    <row r="1" ht="15.75">
      <c r="A1" s="229" t="s">
        <v>1258</v>
      </c>
    </row>
    <row r="3" spans="2:9" ht="12.75">
      <c r="B3" s="1351" t="s">
        <v>190</v>
      </c>
      <c r="C3" s="1352"/>
      <c r="D3" s="1352"/>
      <c r="E3" s="1352"/>
      <c r="F3" s="1352"/>
      <c r="G3" s="1352"/>
      <c r="H3" s="1352"/>
      <c r="I3" s="1352"/>
    </row>
    <row r="4" spans="2:9" ht="12.75">
      <c r="B4" s="276">
        <v>2009</v>
      </c>
      <c r="C4" s="174">
        <v>2010</v>
      </c>
      <c r="D4" s="276">
        <v>2011</v>
      </c>
      <c r="E4" s="174">
        <v>2012</v>
      </c>
      <c r="F4" s="276">
        <v>2013</v>
      </c>
      <c r="G4" s="276" t="s">
        <v>1249</v>
      </c>
      <c r="H4" s="276" t="s">
        <v>1259</v>
      </c>
      <c r="I4" s="276" t="s">
        <v>170</v>
      </c>
    </row>
    <row r="5" spans="1:9" ht="12.75">
      <c r="A5" s="228" t="s">
        <v>1260</v>
      </c>
      <c r="B5" s="1137">
        <v>44.5</v>
      </c>
      <c r="C5" s="1137">
        <v>46.3</v>
      </c>
      <c r="D5" s="1137">
        <v>43.7</v>
      </c>
      <c r="E5" s="1137">
        <v>46.3</v>
      </c>
      <c r="F5" s="1137">
        <v>47.2</v>
      </c>
      <c r="G5" s="1048">
        <f>AVERAGE(B5:F5)</f>
        <v>45.6</v>
      </c>
      <c r="H5" s="367">
        <v>60</v>
      </c>
      <c r="I5" s="367">
        <f>H5*G5</f>
        <v>2736</v>
      </c>
    </row>
    <row r="6" spans="1:9" ht="12.75">
      <c r="A6" s="13" t="s">
        <v>1261</v>
      </c>
      <c r="B6" s="49">
        <v>164.7</v>
      </c>
      <c r="C6" s="49">
        <v>152.8</v>
      </c>
      <c r="D6" s="49">
        <v>147.2</v>
      </c>
      <c r="E6" s="49">
        <v>123.4</v>
      </c>
      <c r="F6" s="49">
        <v>160.4</v>
      </c>
      <c r="G6" s="590">
        <f>AVERAGE(B6:F6)</f>
        <v>149.7</v>
      </c>
      <c r="H6" s="14">
        <v>56</v>
      </c>
      <c r="I6" s="14">
        <f>H6*G6</f>
        <v>8383.199999999999</v>
      </c>
    </row>
    <row r="7" spans="1:9" ht="12.75">
      <c r="A7" s="13" t="s">
        <v>1262</v>
      </c>
      <c r="B7" s="14">
        <v>7085</v>
      </c>
      <c r="C7" s="14">
        <v>6725</v>
      </c>
      <c r="D7" s="14">
        <v>7067</v>
      </c>
      <c r="E7" s="14">
        <v>7449</v>
      </c>
      <c r="F7" s="14">
        <v>7660</v>
      </c>
      <c r="G7" s="234">
        <f>AVERAGE(B7:F7)</f>
        <v>7197.2</v>
      </c>
      <c r="H7" s="378" t="s">
        <v>1263</v>
      </c>
      <c r="I7" s="14">
        <f>G7</f>
        <v>7197.2</v>
      </c>
    </row>
    <row r="8" spans="1:9" ht="12.75">
      <c r="A8" s="13" t="s">
        <v>1264</v>
      </c>
      <c r="B8" s="49">
        <v>67.5</v>
      </c>
      <c r="C8" s="49">
        <v>64.3</v>
      </c>
      <c r="D8" s="49">
        <v>57.1</v>
      </c>
      <c r="E8" s="49">
        <v>61.3</v>
      </c>
      <c r="F8" s="49">
        <v>64</v>
      </c>
      <c r="G8" s="590">
        <f>AVERAGE(B8:F8)</f>
        <v>62.839999999999996</v>
      </c>
      <c r="H8" s="14">
        <v>32</v>
      </c>
      <c r="I8" s="14">
        <f>H8*G8</f>
        <v>2010.8799999999999</v>
      </c>
    </row>
    <row r="9" spans="1:9" ht="12.75">
      <c r="A9" s="13" t="s">
        <v>1265</v>
      </c>
      <c r="B9" s="49">
        <v>73</v>
      </c>
      <c r="C9" s="49">
        <v>73.1</v>
      </c>
      <c r="D9" s="49">
        <v>69.6</v>
      </c>
      <c r="E9" s="49">
        <v>67.9</v>
      </c>
      <c r="F9" s="49">
        <v>71.7</v>
      </c>
      <c r="G9" s="590">
        <f>AVERAGE(B9:F9)</f>
        <v>71.06</v>
      </c>
      <c r="H9" s="14">
        <v>48</v>
      </c>
      <c r="I9" s="14">
        <f>H9*G9</f>
        <v>3410.88</v>
      </c>
    </row>
    <row r="10" spans="1:8" ht="12.75">
      <c r="A10" s="13"/>
      <c r="B10" s="14"/>
      <c r="C10" s="14"/>
      <c r="D10" s="14"/>
      <c r="E10" s="14"/>
      <c r="F10" s="14"/>
      <c r="H10" s="909"/>
    </row>
    <row r="11" ht="12.75">
      <c r="A11" s="13" t="s">
        <v>1266</v>
      </c>
    </row>
    <row r="12" ht="12.75">
      <c r="A12" s="13" t="s">
        <v>1267</v>
      </c>
    </row>
    <row r="13" ht="12.75">
      <c r="A13" s="13" t="s">
        <v>1268</v>
      </c>
    </row>
    <row r="17" ht="12.75">
      <c r="A17" s="13" t="s">
        <v>1269</v>
      </c>
    </row>
    <row r="18" spans="1:9" ht="12.75">
      <c r="A18" s="13"/>
      <c r="B18" s="174">
        <v>2009</v>
      </c>
      <c r="C18" s="174">
        <v>2010</v>
      </c>
      <c r="D18" s="174">
        <v>2011</v>
      </c>
      <c r="E18" s="174">
        <v>2012</v>
      </c>
      <c r="F18" s="174">
        <v>2013</v>
      </c>
      <c r="G18" s="276" t="s">
        <v>1249</v>
      </c>
      <c r="H18" s="276" t="s">
        <v>1259</v>
      </c>
      <c r="I18" s="276" t="s">
        <v>170</v>
      </c>
    </row>
    <row r="19" spans="1:9" ht="12.75">
      <c r="A19" s="13" t="s">
        <v>1270</v>
      </c>
      <c r="B19" s="13">
        <v>55</v>
      </c>
      <c r="C19" s="1138">
        <v>60</v>
      </c>
      <c r="D19" s="13">
        <v>35</v>
      </c>
      <c r="E19" s="13">
        <v>60</v>
      </c>
      <c r="F19" s="13">
        <v>53</v>
      </c>
      <c r="G19">
        <f>AVERAGE(B19:F19)</f>
        <v>52.6</v>
      </c>
      <c r="H19">
        <v>48</v>
      </c>
      <c r="I19" s="14">
        <f>H19*G19</f>
        <v>2524.8</v>
      </c>
    </row>
    <row r="20" spans="1:6" ht="12.75">
      <c r="A20" s="13"/>
      <c r="B20" s="13"/>
      <c r="C20" s="1139"/>
      <c r="D20" s="13"/>
      <c r="E20" s="13"/>
      <c r="F20" s="13"/>
    </row>
    <row r="21" ht="12.75">
      <c r="A21" s="13" t="s">
        <v>1271</v>
      </c>
    </row>
    <row r="22" ht="12.75">
      <c r="A22" s="13" t="s">
        <v>1272</v>
      </c>
    </row>
  </sheetData>
  <sheetProtection/>
  <mergeCells count="1">
    <mergeCell ref="B3:I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L29"/>
  <sheetViews>
    <sheetView zoomScalePageLayoutView="0" workbookViewId="0" topLeftCell="A1">
      <selection activeCell="G14" sqref="G14"/>
    </sheetView>
  </sheetViews>
  <sheetFormatPr defaultColWidth="11.421875" defaultRowHeight="12.75"/>
  <cols>
    <col min="1" max="1" width="18.7109375" style="46" customWidth="1"/>
    <col min="2" max="2" width="11.421875" style="46" customWidth="1"/>
    <col min="3" max="3" width="12.421875" style="46" customWidth="1"/>
    <col min="4" max="6" width="11.421875" style="46" customWidth="1"/>
    <col min="7" max="7" width="14.00390625" style="46" bestFit="1" customWidth="1"/>
    <col min="8" max="8" width="12.140625" style="46" customWidth="1"/>
    <col min="9" max="9" width="10.28125" style="46" bestFit="1" customWidth="1"/>
    <col min="10" max="10" width="10.28125" style="46" customWidth="1"/>
    <col min="11" max="11" width="0" style="46" hidden="1" customWidth="1"/>
    <col min="12" max="16384" width="11.421875" style="46" customWidth="1"/>
  </cols>
  <sheetData>
    <row r="1" ht="15.75">
      <c r="A1" s="609" t="s">
        <v>182</v>
      </c>
    </row>
    <row r="2" ht="12.75">
      <c r="A2" s="46" t="s">
        <v>833</v>
      </c>
    </row>
    <row r="3" spans="1:5" ht="12.75">
      <c r="A3" s="46" t="s">
        <v>180</v>
      </c>
      <c r="B3" s="182">
        <v>14500000</v>
      </c>
      <c r="C3" s="182"/>
      <c r="E3" s="188"/>
    </row>
    <row r="4" ht="12.75">
      <c r="E4" s="188"/>
    </row>
    <row r="5" spans="2:11" ht="12.75">
      <c r="B5" s="402" t="s">
        <v>283</v>
      </c>
      <c r="C5" s="522" t="s">
        <v>284</v>
      </c>
      <c r="K5" s="216"/>
    </row>
    <row r="6" spans="1:11" ht="12.75">
      <c r="A6" s="188"/>
      <c r="B6" s="312" t="s">
        <v>306</v>
      </c>
      <c r="C6" s="68" t="s">
        <v>307</v>
      </c>
      <c r="K6" s="216"/>
    </row>
    <row r="7" spans="1:11" ht="12.75">
      <c r="A7" s="46" t="s">
        <v>795</v>
      </c>
      <c r="B7" s="284" t="s">
        <v>798</v>
      </c>
      <c r="C7" s="216" t="s">
        <v>797</v>
      </c>
      <c r="K7" s="216"/>
    </row>
    <row r="8" spans="1:11" ht="12.75">
      <c r="A8" s="46" t="s">
        <v>796</v>
      </c>
      <c r="B8" s="503">
        <v>7.58099412154115</v>
      </c>
      <c r="C8" s="678">
        <f>B8*7</f>
        <v>53.06695885078805</v>
      </c>
      <c r="K8" s="216"/>
    </row>
    <row r="9" spans="2:11" ht="12.75">
      <c r="B9" s="503"/>
      <c r="K9" s="216"/>
    </row>
    <row r="10" spans="2:8" s="188" customFormat="1" ht="12.75" customHeight="1">
      <c r="B10" s="1357" t="s">
        <v>120</v>
      </c>
      <c r="C10" s="1357"/>
      <c r="D10" s="1357"/>
      <c r="E10" s="1136"/>
      <c r="F10" s="1355" t="s">
        <v>168</v>
      </c>
      <c r="G10" s="1356"/>
      <c r="H10" s="335"/>
    </row>
    <row r="11" spans="1:11" ht="12.75">
      <c r="A11" s="312"/>
      <c r="B11" s="277" t="s">
        <v>283</v>
      </c>
      <c r="C11" s="303" t="s">
        <v>793</v>
      </c>
      <c r="D11" s="547" t="s">
        <v>121</v>
      </c>
      <c r="E11" s="547" t="s">
        <v>123</v>
      </c>
      <c r="F11" s="547" t="s">
        <v>329</v>
      </c>
      <c r="G11" s="547" t="s">
        <v>330</v>
      </c>
      <c r="H11" s="335"/>
      <c r="I11" s="809"/>
      <c r="J11" s="809"/>
      <c r="K11" s="1159" t="s">
        <v>124</v>
      </c>
    </row>
    <row r="12" spans="1:11" s="809" customFormat="1" ht="12.75">
      <c r="A12" s="1160"/>
      <c r="B12" s="611" t="s">
        <v>306</v>
      </c>
      <c r="C12" s="1161" t="s">
        <v>307</v>
      </c>
      <c r="D12" s="277" t="s">
        <v>331</v>
      </c>
      <c r="E12" s="611" t="s">
        <v>39</v>
      </c>
      <c r="F12" s="611" t="s">
        <v>270</v>
      </c>
      <c r="G12" s="611" t="s">
        <v>331</v>
      </c>
      <c r="K12" s="1107" t="s">
        <v>125</v>
      </c>
    </row>
    <row r="13" spans="1:11" ht="12.75">
      <c r="A13" s="46" t="s">
        <v>126</v>
      </c>
      <c r="B13" s="1162">
        <f>ProteinCurrent!AD9</f>
        <v>2.017187105193384</v>
      </c>
      <c r="C13" s="351">
        <f aca="true" t="shared" si="0" ref="C13:C20">B13*7</f>
        <v>14.120309736353688</v>
      </c>
      <c r="D13" s="1163">
        <f>(B13*365)/16</f>
        <v>46.01708083722407</v>
      </c>
      <c r="E13" s="501">
        <f>ProteinCurrent!P9</f>
        <v>0.48861386947022023</v>
      </c>
      <c r="F13" s="1164">
        <f aca="true" t="shared" si="1" ref="F13:F18">D13/(1-E13)</f>
        <v>89.98499976828046</v>
      </c>
      <c r="G13" s="1165">
        <f>F13*B3</f>
        <v>1304782496.6400666</v>
      </c>
      <c r="H13" s="283"/>
      <c r="I13" s="188"/>
      <c r="J13" s="188"/>
      <c r="K13" s="280"/>
    </row>
    <row r="14" spans="1:12" ht="12.75">
      <c r="A14" s="46" t="s">
        <v>127</v>
      </c>
      <c r="B14" s="356">
        <f>ProteinCurrent!AD13</f>
        <v>0.02309333512140605</v>
      </c>
      <c r="C14" s="355">
        <f t="shared" si="0"/>
        <v>0.16165334584984237</v>
      </c>
      <c r="D14" s="1166">
        <f>(B14*365)/16</f>
        <v>0.5268167074570755</v>
      </c>
      <c r="E14" s="283">
        <f>ProteinCurrent!P13</f>
        <v>0.5383447640434921</v>
      </c>
      <c r="F14" s="298">
        <f t="shared" si="1"/>
        <v>1.1411474763533418</v>
      </c>
      <c r="G14" s="280">
        <f>F14*B3</f>
        <v>16546638.407123456</v>
      </c>
      <c r="H14" s="283"/>
      <c r="I14" s="188"/>
      <c r="J14" s="188"/>
      <c r="K14" s="280"/>
      <c r="L14" s="503"/>
    </row>
    <row r="15" spans="1:12" ht="12.75">
      <c r="A15" s="46" t="s">
        <v>128</v>
      </c>
      <c r="B15" s="356">
        <f>ProteinCurrent!AD12</f>
        <v>1.369442488959365</v>
      </c>
      <c r="C15" s="355">
        <f t="shared" si="0"/>
        <v>9.586097422715556</v>
      </c>
      <c r="D15" s="1167">
        <f>(B15*365)/16</f>
        <v>31.240406779385516</v>
      </c>
      <c r="E15" s="283">
        <f>ProteinCurrent!P12</f>
        <v>0.504959348438752</v>
      </c>
      <c r="F15" s="1168">
        <f>D15/(1-E15)</f>
        <v>63.10675028578002</v>
      </c>
      <c r="G15" s="280">
        <f>F15*B3</f>
        <v>915047879.1438104</v>
      </c>
      <c r="H15" s="283"/>
      <c r="I15" s="188"/>
      <c r="J15" s="188"/>
      <c r="K15" s="280"/>
      <c r="L15" s="678"/>
    </row>
    <row r="16" spans="1:11" s="188" customFormat="1" ht="12.75">
      <c r="A16" s="188" t="s">
        <v>131</v>
      </c>
      <c r="B16" s="356">
        <f>ProteinCurrent!AD16</f>
        <v>0.47264608539348235</v>
      </c>
      <c r="C16" s="355">
        <f t="shared" si="0"/>
        <v>3.3085225977543766</v>
      </c>
      <c r="D16" s="1167">
        <f>(B16*365)</f>
        <v>172.51582116862104</v>
      </c>
      <c r="E16" s="283">
        <f>ProteinCurrent!P16</f>
        <v>0.41737250000000004</v>
      </c>
      <c r="F16" s="1168">
        <f>D16/(1-E16)</f>
        <v>296.09968834052813</v>
      </c>
      <c r="G16" s="280">
        <f>F16*B3</f>
        <v>4293445480.937658</v>
      </c>
      <c r="H16" s="188" t="s">
        <v>805</v>
      </c>
      <c r="K16" s="407">
        <f>G16/230</f>
        <v>18667154.264946338</v>
      </c>
    </row>
    <row r="17" spans="1:11" ht="12.75">
      <c r="A17" s="46" t="s">
        <v>129</v>
      </c>
      <c r="B17" s="356">
        <f>ProteinCurrent!AD14</f>
        <v>2.100394374082968</v>
      </c>
      <c r="C17" s="355">
        <f t="shared" si="0"/>
        <v>14.702760618580776</v>
      </c>
      <c r="D17" s="1167">
        <f>(B17*365)/16</f>
        <v>47.9152466587677</v>
      </c>
      <c r="E17" s="283">
        <f>ProteinCurrent!P14</f>
        <v>0.508621396523085</v>
      </c>
      <c r="F17" s="1168">
        <f t="shared" si="1"/>
        <v>97.51187031695564</v>
      </c>
      <c r="G17" s="280">
        <f>F17*B3</f>
        <v>1413922119.5958567</v>
      </c>
      <c r="H17" s="283"/>
      <c r="I17" s="188"/>
      <c r="J17" s="188"/>
      <c r="K17" s="280">
        <f>G17/5</f>
        <v>282784423.91917133</v>
      </c>
    </row>
    <row r="18" spans="1:11" ht="12.75">
      <c r="A18" s="46" t="s">
        <v>130</v>
      </c>
      <c r="B18" s="356">
        <f>ProteinCurrent!AD15</f>
        <v>0.3696149851240257</v>
      </c>
      <c r="C18" s="355">
        <f t="shared" si="0"/>
        <v>2.5873048958681797</v>
      </c>
      <c r="D18" s="1167">
        <f>(B18*365)/16</f>
        <v>8.431841848141836</v>
      </c>
      <c r="E18" s="283">
        <f>ProteinCurrent!P15</f>
        <v>0.504272298821159</v>
      </c>
      <c r="F18" s="1168">
        <f t="shared" si="1"/>
        <v>17.009018919239146</v>
      </c>
      <c r="G18" s="280">
        <f>F18*B3</f>
        <v>246630774.32896763</v>
      </c>
      <c r="H18" s="283"/>
      <c r="I18" s="188"/>
      <c r="J18" s="188"/>
      <c r="K18" s="280">
        <f>G18/15</f>
        <v>16442051.621931175</v>
      </c>
    </row>
    <row r="19" spans="1:8" ht="12.75">
      <c r="A19" s="46" t="s">
        <v>792</v>
      </c>
      <c r="B19" s="1169">
        <f>ProteinCurrent!AD17</f>
        <v>0.4250263970380018</v>
      </c>
      <c r="C19" s="1170">
        <f t="shared" si="0"/>
        <v>2.9751847792660127</v>
      </c>
      <c r="D19" s="1171">
        <f>(B19*365)/16</f>
        <v>9.695914682429416</v>
      </c>
      <c r="E19" s="682">
        <f>ProteinCurrent!P17</f>
        <v>0.39611270071543503</v>
      </c>
      <c r="F19" s="1172">
        <f>D19/(1-E19)</f>
        <v>16.05583474584798</v>
      </c>
      <c r="G19" s="1173">
        <f>F19*B3</f>
        <v>232809603.81479573</v>
      </c>
      <c r="H19" s="283"/>
    </row>
    <row r="20" spans="1:8" s="188" customFormat="1" ht="12.75">
      <c r="A20" s="275" t="s">
        <v>132</v>
      </c>
      <c r="B20" s="355">
        <f>SUM(B13:B19)</f>
        <v>6.777404770912632</v>
      </c>
      <c r="C20" s="1174">
        <f t="shared" si="0"/>
        <v>47.441833396388425</v>
      </c>
      <c r="D20" s="1174"/>
      <c r="E20" s="1175"/>
      <c r="F20" s="355"/>
      <c r="G20" s="1176"/>
      <c r="H20" s="283"/>
    </row>
    <row r="21" spans="2:6" ht="12" customHeight="1">
      <c r="B21" s="188"/>
      <c r="C21" s="355"/>
      <c r="D21" s="1177"/>
      <c r="E21" s="283"/>
      <c r="F21" s="355"/>
    </row>
    <row r="22" spans="1:11" ht="20.25" customHeight="1">
      <c r="A22" s="1106"/>
      <c r="B22" s="1353" t="s">
        <v>122</v>
      </c>
      <c r="C22" s="1354"/>
      <c r="D22" s="1354"/>
      <c r="E22" s="1354"/>
      <c r="F22" s="1354"/>
      <c r="G22" s="1354"/>
      <c r="H22" s="1354"/>
      <c r="I22" s="1354"/>
      <c r="J22" s="1358"/>
      <c r="K22" s="1176"/>
    </row>
    <row r="23" spans="1:11" ht="12.75">
      <c r="A23" s="809"/>
      <c r="B23" s="277" t="s">
        <v>794</v>
      </c>
      <c r="C23" s="277" t="s">
        <v>793</v>
      </c>
      <c r="D23" s="843" t="s">
        <v>121</v>
      </c>
      <c r="E23" s="277" t="s">
        <v>123</v>
      </c>
      <c r="F23" s="1355" t="s">
        <v>121</v>
      </c>
      <c r="G23" s="1356"/>
      <c r="H23" s="277" t="s">
        <v>190</v>
      </c>
      <c r="I23" s="1357" t="s">
        <v>800</v>
      </c>
      <c r="J23" s="1357"/>
      <c r="K23" s="1159" t="s">
        <v>124</v>
      </c>
    </row>
    <row r="24" spans="1:11" s="809" customFormat="1" ht="12.75">
      <c r="A24" s="1178"/>
      <c r="B24" s="1107" t="s">
        <v>306</v>
      </c>
      <c r="C24" s="277" t="s">
        <v>307</v>
      </c>
      <c r="D24" s="277" t="s">
        <v>331</v>
      </c>
      <c r="E24" s="277" t="s">
        <v>39</v>
      </c>
      <c r="F24" s="1179" t="s">
        <v>270</v>
      </c>
      <c r="G24" s="1179" t="s">
        <v>331</v>
      </c>
      <c r="H24" s="277" t="s">
        <v>170</v>
      </c>
      <c r="I24" s="277" t="s">
        <v>457</v>
      </c>
      <c r="J24" s="277" t="s">
        <v>269</v>
      </c>
      <c r="K24" s="1107" t="s">
        <v>125</v>
      </c>
    </row>
    <row r="25" spans="1:10" ht="12.75">
      <c r="A25" s="46" t="s">
        <v>133</v>
      </c>
      <c r="B25" s="356">
        <f>ProteinCurrent!AD19</f>
        <v>0.5164856467439891</v>
      </c>
      <c r="C25" s="355">
        <f>B25*7</f>
        <v>3.6153995272079236</v>
      </c>
      <c r="D25" s="300">
        <f>(B25*(365)/16)*(1/2)</f>
        <v>5.891164408173625</v>
      </c>
      <c r="E25" s="526">
        <f>ProteinCurrent!P19</f>
        <v>0.09940480000000002</v>
      </c>
      <c r="F25" s="298">
        <f>D25/(1-E25)</f>
        <v>6.541412177384052</v>
      </c>
      <c r="G25" s="1180">
        <f>F25*B3</f>
        <v>94850476.57206875</v>
      </c>
      <c r="H25" s="182">
        <f>Nuts!J15</f>
        <v>2718.4049999999997</v>
      </c>
      <c r="I25" s="1181">
        <f>G25/H25</f>
        <v>34891.95928203074</v>
      </c>
      <c r="J25" s="182">
        <f>I25/1000</f>
        <v>34.89195928203074</v>
      </c>
    </row>
    <row r="26" spans="1:10" ht="12.75">
      <c r="A26" s="68" t="s">
        <v>919</v>
      </c>
      <c r="B26" s="356">
        <f>ProteinCurrent!AD20</f>
        <v>0.24436845138184643</v>
      </c>
      <c r="C26" s="355">
        <f>B26*7</f>
        <v>1.710579159672925</v>
      </c>
      <c r="D26" s="300">
        <f>(B26*(365/16)*(1/2))</f>
        <v>2.787327648574186</v>
      </c>
      <c r="E26" s="526">
        <f>1-(SUM(ProteinCurrent!R21:R23)/SUM(ProteinCurrent!B21:B23))</f>
        <v>0.2395333624669319</v>
      </c>
      <c r="F26" s="1182">
        <f>D26/(1-E26)</f>
        <v>3.6652859060539416</v>
      </c>
      <c r="G26" s="1173">
        <f>F26*B3</f>
        <v>53146645.63778215</v>
      </c>
      <c r="H26" s="184">
        <f>Nuts!J14</f>
        <v>1466.8525558609697</v>
      </c>
      <c r="I26" s="1183">
        <f>G26/H26</f>
        <v>36231.75719020219</v>
      </c>
      <c r="J26" s="182">
        <f>I26/1000</f>
        <v>36.23175719020219</v>
      </c>
    </row>
    <row r="27" spans="1:10" ht="12.75">
      <c r="A27" s="188" t="s">
        <v>132</v>
      </c>
      <c r="B27" s="1162">
        <f>SUM(B25:B26)</f>
        <v>0.7608540981258356</v>
      </c>
      <c r="C27" s="351">
        <f>B27*7</f>
        <v>5.325978686880849</v>
      </c>
      <c r="D27" s="1184">
        <f>SUM(D25:D26)</f>
        <v>8.67849205674781</v>
      </c>
      <c r="E27" s="1185"/>
      <c r="F27" s="298">
        <f>F26+F25</f>
        <v>10.206698083437994</v>
      </c>
      <c r="G27" s="294">
        <f>SUM(G25:G26)</f>
        <v>147997122.2098509</v>
      </c>
      <c r="H27" s="1185"/>
      <c r="I27" s="1186">
        <f>SUM(I25:I26)</f>
        <v>71123.71647223292</v>
      </c>
      <c r="J27" s="1187">
        <f>SUM(J25:J26)</f>
        <v>71.12371647223293</v>
      </c>
    </row>
    <row r="28" spans="2:6" ht="12.75">
      <c r="B28" s="188"/>
      <c r="C28" s="355"/>
      <c r="D28" s="1188"/>
      <c r="E28" s="1188"/>
      <c r="F28" s="188"/>
    </row>
    <row r="29" ht="12.75">
      <c r="B29" s="337"/>
    </row>
  </sheetData>
  <sheetProtection/>
  <mergeCells count="6">
    <mergeCell ref="B22:C22"/>
    <mergeCell ref="F23:G23"/>
    <mergeCell ref="I23:J23"/>
    <mergeCell ref="F10:G10"/>
    <mergeCell ref="D22:J22"/>
    <mergeCell ref="B10:D10"/>
  </mergeCells>
  <printOptions/>
  <pageMargins left="0.7" right="0.7" top="0.75" bottom="0.75" header="0.3" footer="0.3"/>
  <pageSetup horizontalDpi="600" verticalDpi="600" orientation="portrait"/>
  <legacyDrawing r:id="rId2"/>
</worksheet>
</file>

<file path=xl/worksheets/sheet15.xml><?xml version="1.0" encoding="utf-8"?>
<worksheet xmlns="http://schemas.openxmlformats.org/spreadsheetml/2006/main" xmlns:r="http://schemas.openxmlformats.org/officeDocument/2006/relationships">
  <dimension ref="A1:AN28"/>
  <sheetViews>
    <sheetView zoomScalePageLayoutView="0" workbookViewId="0" topLeftCell="A1">
      <selection activeCell="AD19" sqref="AD19"/>
    </sheetView>
  </sheetViews>
  <sheetFormatPr defaultColWidth="8.8515625" defaultRowHeight="12.75"/>
  <cols>
    <col min="1" max="1" width="20.7109375" style="0" customWidth="1"/>
    <col min="2" max="2" width="8.8515625" style="0" customWidth="1"/>
    <col min="3" max="3" width="1.421875" style="0" hidden="1" customWidth="1"/>
    <col min="4" max="4" width="0" style="0" hidden="1" customWidth="1"/>
    <col min="5" max="5" width="1.421875" style="0" hidden="1" customWidth="1"/>
    <col min="6" max="6" width="0" style="0" hidden="1" customWidth="1"/>
    <col min="7" max="7" width="1.421875" style="0" hidden="1" customWidth="1"/>
    <col min="8" max="8" width="0" style="0" hidden="1" customWidth="1"/>
    <col min="9" max="9" width="1.421875" style="0" hidden="1" customWidth="1"/>
    <col min="10" max="10" width="0" style="0" hidden="1" customWidth="1"/>
    <col min="11" max="11" width="1.421875" style="0" hidden="1" customWidth="1"/>
    <col min="12" max="12" width="0" style="0" hidden="1" customWidth="1"/>
    <col min="13" max="13" width="1.421875" style="0" hidden="1" customWidth="1"/>
    <col min="14" max="14" width="0" style="0" hidden="1" customWidth="1"/>
    <col min="15" max="15" width="1.421875" style="0" hidden="1" customWidth="1"/>
    <col min="16" max="16" width="8.8515625" style="0" customWidth="1"/>
    <col min="17" max="17" width="1.421875" style="0" hidden="1" customWidth="1"/>
    <col min="18" max="18" width="8.8515625" style="0" customWidth="1"/>
    <col min="19" max="19" width="1.421875" style="0" hidden="1" customWidth="1"/>
    <col min="20" max="20" width="8.8515625" style="0" customWidth="1"/>
    <col min="21" max="21" width="1.421875" style="0" hidden="1" customWidth="1"/>
    <col min="22" max="22" width="9.140625" style="33" customWidth="1"/>
    <col min="23" max="23" width="1.421875" style="33" hidden="1" customWidth="1"/>
    <col min="24" max="24" width="9.140625" style="33" customWidth="1"/>
    <col min="25" max="25" width="1.421875" style="33" hidden="1" customWidth="1"/>
    <col min="26" max="26" width="9.140625" style="33" hidden="1" customWidth="1"/>
    <col min="27" max="27" width="1.421875" style="33" hidden="1" customWidth="1"/>
    <col min="28" max="28" width="9.140625" style="33" customWidth="1"/>
    <col min="29" max="29" width="1.421875" style="0" hidden="1" customWidth="1"/>
    <col min="30" max="30" width="11.421875" style="0" customWidth="1"/>
    <col min="31" max="31" width="1.28515625" style="0" hidden="1" customWidth="1"/>
  </cols>
  <sheetData>
    <row r="1" ht="18">
      <c r="A1" s="412" t="s">
        <v>741</v>
      </c>
    </row>
    <row r="2" ht="12.75">
      <c r="A2" s="13" t="s">
        <v>276</v>
      </c>
    </row>
    <row r="3" spans="22:28" s="13" customFormat="1" ht="12.75">
      <c r="V3" s="46"/>
      <c r="W3" s="46"/>
      <c r="X3" s="46"/>
      <c r="Y3" s="46"/>
      <c r="Z3" s="46"/>
      <c r="AA3" s="46"/>
      <c r="AB3" s="46"/>
    </row>
    <row r="4" spans="1:40" s="46" customFormat="1" ht="12" customHeight="1">
      <c r="A4" s="1372" t="s">
        <v>494</v>
      </c>
      <c r="B4" s="1360" t="s">
        <v>580</v>
      </c>
      <c r="C4" s="1365"/>
      <c r="D4" s="1371" t="s">
        <v>742</v>
      </c>
      <c r="E4" s="1365"/>
      <c r="F4" s="1360" t="s">
        <v>743</v>
      </c>
      <c r="G4" s="1365"/>
      <c r="H4" s="1360" t="s">
        <v>197</v>
      </c>
      <c r="I4" s="1365"/>
      <c r="J4" s="1360" t="s">
        <v>198</v>
      </c>
      <c r="K4" s="1365"/>
      <c r="L4" s="1368" t="s">
        <v>199</v>
      </c>
      <c r="M4" s="1369"/>
      <c r="N4" s="1369"/>
      <c r="O4" s="1370"/>
      <c r="P4" s="1360" t="s">
        <v>200</v>
      </c>
      <c r="Q4" s="1365"/>
      <c r="R4" s="1371" t="s">
        <v>201</v>
      </c>
      <c r="S4" s="1361"/>
      <c r="T4" s="1361"/>
      <c r="U4" s="1361"/>
      <c r="V4" s="1361"/>
      <c r="W4" s="1365"/>
      <c r="X4" s="1360" t="s">
        <v>744</v>
      </c>
      <c r="Y4" s="1365"/>
      <c r="Z4" s="1360" t="s">
        <v>745</v>
      </c>
      <c r="AA4" s="1365"/>
      <c r="AB4" s="1371" t="s">
        <v>746</v>
      </c>
      <c r="AC4" s="1365"/>
      <c r="AD4" s="1360" t="s">
        <v>747</v>
      </c>
      <c r="AE4" s="1361"/>
      <c r="AF4" s="308"/>
      <c r="AG4" s="308"/>
      <c r="AH4" s="308"/>
      <c r="AI4" s="308"/>
      <c r="AJ4" s="308"/>
      <c r="AK4" s="308"/>
      <c r="AL4" s="308"/>
      <c r="AM4" s="308"/>
      <c r="AN4" s="308"/>
    </row>
    <row r="5" spans="1:40" s="46" customFormat="1" ht="12" customHeight="1">
      <c r="A5" s="1373"/>
      <c r="B5" s="1362"/>
      <c r="C5" s="1366"/>
      <c r="D5" s="1362"/>
      <c r="E5" s="1366"/>
      <c r="F5" s="1362"/>
      <c r="G5" s="1366"/>
      <c r="H5" s="1362"/>
      <c r="I5" s="1366"/>
      <c r="J5" s="1362"/>
      <c r="K5" s="1366"/>
      <c r="L5" s="1360" t="s">
        <v>203</v>
      </c>
      <c r="M5" s="1365"/>
      <c r="N5" s="1360" t="s">
        <v>204</v>
      </c>
      <c r="O5" s="1365"/>
      <c r="P5" s="1362"/>
      <c r="Q5" s="1366"/>
      <c r="R5" s="1362"/>
      <c r="S5" s="1359"/>
      <c r="T5" s="1359"/>
      <c r="U5" s="1359"/>
      <c r="V5" s="1359"/>
      <c r="W5" s="1366"/>
      <c r="X5" s="1362"/>
      <c r="Y5" s="1366"/>
      <c r="Z5" s="1362"/>
      <c r="AA5" s="1366"/>
      <c r="AB5" s="1362"/>
      <c r="AC5" s="1366"/>
      <c r="AD5" s="1362"/>
      <c r="AE5" s="1359"/>
      <c r="AF5" s="308"/>
      <c r="AG5" s="308"/>
      <c r="AH5" s="308"/>
      <c r="AI5" s="308"/>
      <c r="AJ5" s="308"/>
      <c r="AK5" s="308"/>
      <c r="AL5" s="308"/>
      <c r="AM5" s="308"/>
      <c r="AN5" s="308"/>
    </row>
    <row r="6" spans="1:40" s="46" customFormat="1" ht="12" customHeight="1">
      <c r="A6" s="1373"/>
      <c r="B6" s="1362"/>
      <c r="C6" s="1366"/>
      <c r="D6" s="1362"/>
      <c r="E6" s="1366"/>
      <c r="F6" s="1362"/>
      <c r="G6" s="1366"/>
      <c r="H6" s="1362"/>
      <c r="I6" s="1366"/>
      <c r="J6" s="1362"/>
      <c r="K6" s="1366"/>
      <c r="L6" s="1362"/>
      <c r="M6" s="1366"/>
      <c r="N6" s="1362"/>
      <c r="O6" s="1366"/>
      <c r="P6" s="1362"/>
      <c r="Q6" s="1366"/>
      <c r="R6" s="1362"/>
      <c r="S6" s="1359"/>
      <c r="T6" s="1359"/>
      <c r="U6" s="1359"/>
      <c r="V6" s="1359"/>
      <c r="W6" s="1366"/>
      <c r="X6" s="1362"/>
      <c r="Y6" s="1366"/>
      <c r="Z6" s="1362"/>
      <c r="AA6" s="1366"/>
      <c r="AB6" s="1362"/>
      <c r="AC6" s="1366"/>
      <c r="AD6" s="1362"/>
      <c r="AE6" s="1359"/>
      <c r="AF6" s="308"/>
      <c r="AG6" s="308"/>
      <c r="AH6" s="308"/>
      <c r="AI6" s="308"/>
      <c r="AJ6" s="308"/>
      <c r="AK6" s="308"/>
      <c r="AL6" s="308"/>
      <c r="AM6" s="308"/>
      <c r="AN6" s="308"/>
    </row>
    <row r="7" spans="1:40" s="46" customFormat="1" ht="12" customHeight="1">
      <c r="A7" s="1374"/>
      <c r="B7" s="1363"/>
      <c r="C7" s="1367"/>
      <c r="D7" s="1363"/>
      <c r="E7" s="1367"/>
      <c r="F7" s="1363"/>
      <c r="G7" s="1367"/>
      <c r="H7" s="1363"/>
      <c r="I7" s="1367"/>
      <c r="J7" s="1363"/>
      <c r="K7" s="1367"/>
      <c r="L7" s="1363"/>
      <c r="M7" s="1367"/>
      <c r="N7" s="1363"/>
      <c r="O7" s="1367"/>
      <c r="P7" s="1363"/>
      <c r="Q7" s="1367"/>
      <c r="R7" s="1363"/>
      <c r="S7" s="1364"/>
      <c r="T7" s="1364"/>
      <c r="U7" s="1364"/>
      <c r="V7" s="1364"/>
      <c r="W7" s="1367"/>
      <c r="X7" s="1363"/>
      <c r="Y7" s="1367"/>
      <c r="Z7" s="1363"/>
      <c r="AA7" s="1367"/>
      <c r="AB7" s="1363"/>
      <c r="AC7" s="1367"/>
      <c r="AD7" s="1363"/>
      <c r="AE7" s="1364"/>
      <c r="AF7" s="308"/>
      <c r="AG7" s="308"/>
      <c r="AH7" s="308"/>
      <c r="AI7" s="308"/>
      <c r="AJ7" s="308"/>
      <c r="AK7" s="308"/>
      <c r="AL7" s="308"/>
      <c r="AM7" s="308"/>
      <c r="AN7" s="308"/>
    </row>
    <row r="8" spans="1:40" s="46" customFormat="1" ht="12" customHeight="1">
      <c r="A8" s="479"/>
      <c r="B8" s="1359" t="s">
        <v>582</v>
      </c>
      <c r="C8" s="1359"/>
      <c r="D8" s="1359" t="s">
        <v>583</v>
      </c>
      <c r="E8" s="1359"/>
      <c r="F8" s="1359" t="s">
        <v>582</v>
      </c>
      <c r="G8" s="1359"/>
      <c r="H8" s="1359" t="s">
        <v>583</v>
      </c>
      <c r="I8" s="1359"/>
      <c r="J8" s="1359" t="s">
        <v>582</v>
      </c>
      <c r="K8" s="1359"/>
      <c r="L8" s="1359" t="s">
        <v>583</v>
      </c>
      <c r="M8" s="1359"/>
      <c r="N8" s="1359" t="s">
        <v>583</v>
      </c>
      <c r="O8" s="1359"/>
      <c r="P8" s="1359" t="s">
        <v>583</v>
      </c>
      <c r="Q8" s="1359"/>
      <c r="R8" s="1359" t="s">
        <v>582</v>
      </c>
      <c r="S8" s="1359"/>
      <c r="T8" s="1359" t="s">
        <v>137</v>
      </c>
      <c r="U8" s="1359"/>
      <c r="V8" s="1359" t="s">
        <v>584</v>
      </c>
      <c r="W8" s="1359"/>
      <c r="X8" s="1359" t="s">
        <v>585</v>
      </c>
      <c r="Y8" s="1359"/>
      <c r="Z8" s="1359" t="s">
        <v>748</v>
      </c>
      <c r="AA8" s="1359"/>
      <c r="AB8" s="1359" t="s">
        <v>585</v>
      </c>
      <c r="AC8" s="1359"/>
      <c r="AD8" s="1359" t="s">
        <v>748</v>
      </c>
      <c r="AE8" s="1359"/>
      <c r="AF8" s="308"/>
      <c r="AG8" s="308"/>
      <c r="AH8" s="308"/>
      <c r="AI8" s="308"/>
      <c r="AJ8" s="308"/>
      <c r="AK8" s="308"/>
      <c r="AL8" s="308"/>
      <c r="AM8" s="308"/>
      <c r="AN8" s="308"/>
    </row>
    <row r="9" spans="1:40" s="46" customFormat="1" ht="12" customHeight="1">
      <c r="A9" s="496" t="s">
        <v>462</v>
      </c>
      <c r="B9" s="497">
        <f>B10+B11</f>
        <v>89.98499976828046</v>
      </c>
      <c r="C9" s="497"/>
      <c r="D9" s="497">
        <f>(1-(F9/$B$9))*100</f>
        <v>33.09129176988543</v>
      </c>
      <c r="E9" s="497"/>
      <c r="F9" s="497">
        <f>F10+F11</f>
        <v>60.20780094582804</v>
      </c>
      <c r="G9" s="497"/>
      <c r="H9" s="497">
        <f>(1-(J9/$B$9))*100</f>
        <v>36.07673368377754</v>
      </c>
      <c r="I9" s="497"/>
      <c r="J9" s="497">
        <f>J10+J11</f>
        <v>57.52135104653008</v>
      </c>
      <c r="K9" s="497"/>
      <c r="L9" s="497"/>
      <c r="M9" s="497"/>
      <c r="N9" s="497"/>
      <c r="O9" s="497"/>
      <c r="P9" s="498">
        <f>(1-(R9/$B$9))</f>
        <v>0.48861386947022023</v>
      </c>
      <c r="Q9" s="497"/>
      <c r="R9" s="497">
        <f>R10+R11</f>
        <v>46.01708083722407</v>
      </c>
      <c r="S9" s="497"/>
      <c r="T9" s="497">
        <f>T10+T11</f>
        <v>2.017187105193384</v>
      </c>
      <c r="U9" s="497"/>
      <c r="V9" s="497">
        <f>V10+V11</f>
        <v>57.186245838679845</v>
      </c>
      <c r="W9" s="497"/>
      <c r="X9" s="582">
        <f>AB9/T9</f>
        <v>85.90864749406153</v>
      </c>
      <c r="Y9" s="497"/>
      <c r="Z9" s="497"/>
      <c r="AA9" s="497"/>
      <c r="AB9" s="497">
        <f>AB10+AB11</f>
        <v>173.29381594962484</v>
      </c>
      <c r="AC9" s="497"/>
      <c r="AD9" s="497">
        <f>AD10+AD11</f>
        <v>2.017187105193384</v>
      </c>
      <c r="AE9" s="495"/>
      <c r="AF9" s="308"/>
      <c r="AG9" s="308"/>
      <c r="AH9" s="308"/>
      <c r="AI9" s="308"/>
      <c r="AJ9" s="308"/>
      <c r="AK9" s="308"/>
      <c r="AL9" s="308"/>
      <c r="AM9" s="308"/>
      <c r="AN9" s="308"/>
    </row>
    <row r="10" spans="1:30" s="13" customFormat="1" ht="12.75">
      <c r="A10" s="71" t="s">
        <v>126</v>
      </c>
      <c r="B10" s="382">
        <v>89.49524346525509</v>
      </c>
      <c r="C10" s="382"/>
      <c r="D10" s="382">
        <v>33.099999999999994</v>
      </c>
      <c r="E10" s="382"/>
      <c r="F10" s="382">
        <v>59.87231787825566</v>
      </c>
      <c r="G10" s="382"/>
      <c r="H10" s="382">
        <v>4.344564675303221</v>
      </c>
      <c r="I10" s="382"/>
      <c r="J10" s="382">
        <v>57.2711263054317</v>
      </c>
      <c r="K10" s="382"/>
      <c r="L10" s="382">
        <v>0</v>
      </c>
      <c r="M10" s="382"/>
      <c r="N10" s="382">
        <v>20</v>
      </c>
      <c r="O10" s="382"/>
      <c r="P10" s="293">
        <f>(1/100)*48.8052110142223</f>
        <v>0.48805211014222305</v>
      </c>
      <c r="Q10" s="382"/>
      <c r="R10" s="382">
        <v>45.816901044345364</v>
      </c>
      <c r="S10" s="382"/>
      <c r="T10" s="382">
        <v>2.0084121005740436</v>
      </c>
      <c r="U10" s="382"/>
      <c r="V10" s="503">
        <v>56.93747884522385</v>
      </c>
      <c r="W10" s="503"/>
      <c r="X10" s="503">
        <v>86</v>
      </c>
      <c r="Y10" s="503"/>
      <c r="Z10" s="503">
        <v>1</v>
      </c>
      <c r="AA10" s="503"/>
      <c r="AB10" s="503">
        <v>172.72344064936772</v>
      </c>
      <c r="AC10" s="382"/>
      <c r="AD10" s="382">
        <v>2.0084121005740436</v>
      </c>
    </row>
    <row r="11" spans="1:30" s="13" customFormat="1" ht="12.75">
      <c r="A11" s="71" t="s">
        <v>749</v>
      </c>
      <c r="B11" s="382">
        <v>0.4897563030253805</v>
      </c>
      <c r="C11" s="382"/>
      <c r="D11" s="382">
        <v>31.499999999999993</v>
      </c>
      <c r="E11" s="382"/>
      <c r="F11" s="382">
        <v>0.3354830675723856</v>
      </c>
      <c r="G11" s="382"/>
      <c r="H11" s="382">
        <v>25.41360048092742</v>
      </c>
      <c r="I11" s="382"/>
      <c r="J11" s="382">
        <v>0.2502247410983798</v>
      </c>
      <c r="K11" s="382"/>
      <c r="L11" s="382">
        <v>0</v>
      </c>
      <c r="M11" s="382"/>
      <c r="N11" s="382">
        <v>20</v>
      </c>
      <c r="O11" s="382"/>
      <c r="P11" s="293">
        <f>(1/100)*59.1266530635482</f>
        <v>0.591266530635482</v>
      </c>
      <c r="Q11" s="382"/>
      <c r="R11" s="382">
        <v>0.20017979287870377</v>
      </c>
      <c r="S11" s="382"/>
      <c r="T11" s="382">
        <v>0.008775004619340441</v>
      </c>
      <c r="U11" s="382"/>
      <c r="V11" s="503">
        <v>0.24876699345599182</v>
      </c>
      <c r="W11" s="503"/>
      <c r="X11" s="503">
        <v>65</v>
      </c>
      <c r="Y11" s="503"/>
      <c r="Z11" s="503">
        <v>1</v>
      </c>
      <c r="AA11" s="503"/>
      <c r="AB11" s="503">
        <v>0.5703753002571286</v>
      </c>
      <c r="AC11" s="382"/>
      <c r="AD11" s="382">
        <v>0.008775004619340441</v>
      </c>
    </row>
    <row r="12" spans="1:30" s="13" customFormat="1" ht="12.75">
      <c r="A12" s="13" t="s">
        <v>128</v>
      </c>
      <c r="B12" s="382">
        <v>63.10675028578002</v>
      </c>
      <c r="C12" s="382"/>
      <c r="D12" s="382">
        <v>27.1</v>
      </c>
      <c r="E12" s="382"/>
      <c r="F12" s="382">
        <v>46.00482095833364</v>
      </c>
      <c r="G12" s="382"/>
      <c r="H12" s="382">
        <v>4.35660434682897</v>
      </c>
      <c r="I12" s="382"/>
      <c r="J12" s="382">
        <v>44.000572928711996</v>
      </c>
      <c r="K12" s="382"/>
      <c r="L12" s="382">
        <v>0</v>
      </c>
      <c r="M12" s="382"/>
      <c r="N12" s="382">
        <v>29</v>
      </c>
      <c r="O12" s="382"/>
      <c r="P12" s="293">
        <f>(1/100)*50.4959348438752</f>
        <v>0.504959348438752</v>
      </c>
      <c r="Q12" s="382"/>
      <c r="R12" s="382">
        <v>31.240406779385513</v>
      </c>
      <c r="S12" s="382"/>
      <c r="T12" s="382">
        <v>1.369442488959365</v>
      </c>
      <c r="U12" s="382"/>
      <c r="V12" s="503">
        <v>38.823009840753514</v>
      </c>
      <c r="W12" s="503"/>
      <c r="X12" s="503">
        <v>77</v>
      </c>
      <c r="Y12" s="503"/>
      <c r="Z12" s="503">
        <v>1</v>
      </c>
      <c r="AA12" s="503"/>
      <c r="AB12" s="503">
        <v>105.44707164987112</v>
      </c>
      <c r="AC12" s="382"/>
      <c r="AD12" s="382">
        <v>1.369442488959365</v>
      </c>
    </row>
    <row r="13" spans="1:33" s="13" customFormat="1" ht="12.75">
      <c r="A13" s="13" t="s">
        <v>127</v>
      </c>
      <c r="B13" s="382">
        <v>1.1411474763533414</v>
      </c>
      <c r="C13" s="382"/>
      <c r="D13" s="382">
        <v>34.199999999999996</v>
      </c>
      <c r="E13" s="382"/>
      <c r="F13" s="382">
        <v>0.7508750394404986</v>
      </c>
      <c r="G13" s="382"/>
      <c r="H13" s="382">
        <v>12.299537242304687</v>
      </c>
      <c r="I13" s="382"/>
      <c r="J13" s="382">
        <v>0.6585208843213445</v>
      </c>
      <c r="K13" s="382"/>
      <c r="L13" s="382">
        <v>0</v>
      </c>
      <c r="M13" s="382"/>
      <c r="N13" s="382">
        <v>20</v>
      </c>
      <c r="O13" s="382"/>
      <c r="P13" s="293">
        <f>(1/100)*53.8344764043492</f>
        <v>0.5383447640434921</v>
      </c>
      <c r="Q13" s="382"/>
      <c r="R13" s="382">
        <v>0.5268167074570755</v>
      </c>
      <c r="S13" s="382"/>
      <c r="T13" s="382">
        <v>0.02309333512140605</v>
      </c>
      <c r="U13" s="382"/>
      <c r="V13" s="503">
        <v>0.6546845040243008</v>
      </c>
      <c r="W13" s="503"/>
      <c r="X13" s="503">
        <v>86</v>
      </c>
      <c r="Y13" s="503"/>
      <c r="Z13" s="503">
        <v>1</v>
      </c>
      <c r="AA13" s="503"/>
      <c r="AB13" s="503">
        <v>1.9860268204409202</v>
      </c>
      <c r="AC13" s="382"/>
      <c r="AD13" s="382">
        <v>0.02309333512140605</v>
      </c>
      <c r="AG13" s="286"/>
    </row>
    <row r="14" spans="1:30" s="13" customFormat="1" ht="12.75">
      <c r="A14" s="13" t="s">
        <v>129</v>
      </c>
      <c r="B14" s="382">
        <v>97.51187031695562</v>
      </c>
      <c r="C14" s="382"/>
      <c r="D14" s="382">
        <v>39.800000000000004</v>
      </c>
      <c r="E14" s="382"/>
      <c r="F14" s="382">
        <v>58.702145930807276</v>
      </c>
      <c r="G14" s="382"/>
      <c r="H14" s="382">
        <v>3.971349721142257</v>
      </c>
      <c r="I14" s="382"/>
      <c r="J14" s="382">
        <v>56.37087842207965</v>
      </c>
      <c r="K14" s="382"/>
      <c r="L14" s="382">
        <v>0</v>
      </c>
      <c r="M14" s="382"/>
      <c r="N14" s="382">
        <v>15</v>
      </c>
      <c r="O14" s="382"/>
      <c r="P14" s="293">
        <f>(1/100)*50.8621396523085</f>
        <v>0.508621396523085</v>
      </c>
      <c r="Q14" s="382"/>
      <c r="R14" s="382">
        <v>47.91524665876769</v>
      </c>
      <c r="S14" s="382"/>
      <c r="T14" s="382">
        <v>2.100394374082968</v>
      </c>
      <c r="U14" s="382"/>
      <c r="V14" s="503">
        <v>59.54513030806508</v>
      </c>
      <c r="W14" s="503"/>
      <c r="X14" s="503">
        <v>66</v>
      </c>
      <c r="Y14" s="503"/>
      <c r="Z14" s="503">
        <v>1</v>
      </c>
      <c r="AA14" s="503"/>
      <c r="AB14" s="503">
        <v>138.62602868947587</v>
      </c>
      <c r="AC14" s="382"/>
      <c r="AD14" s="382">
        <v>2.100394374082968</v>
      </c>
    </row>
    <row r="15" spans="1:33" s="13" customFormat="1" ht="12.75">
      <c r="A15" s="13" t="s">
        <v>130</v>
      </c>
      <c r="B15" s="382">
        <v>17.00901891923916</v>
      </c>
      <c r="C15" s="382"/>
      <c r="D15" s="382">
        <v>20.999999999999996</v>
      </c>
      <c r="E15" s="382"/>
      <c r="F15" s="382">
        <v>13.437124946198939</v>
      </c>
      <c r="G15" s="382"/>
      <c r="H15" s="382">
        <v>3.4610124286581168</v>
      </c>
      <c r="I15" s="382"/>
      <c r="J15" s="382">
        <v>12.972064381756672</v>
      </c>
      <c r="K15" s="382"/>
      <c r="L15" s="382">
        <v>0</v>
      </c>
      <c r="M15" s="382"/>
      <c r="N15" s="382">
        <v>35</v>
      </c>
      <c r="O15" s="382"/>
      <c r="P15" s="293">
        <f>(1/100)*50.4272298821159</f>
        <v>0.504272298821159</v>
      </c>
      <c r="Q15" s="382"/>
      <c r="R15" s="382">
        <v>8.431841848141834</v>
      </c>
      <c r="S15" s="382"/>
      <c r="T15" s="382">
        <v>0.3696149851240257</v>
      </c>
      <c r="U15" s="382"/>
      <c r="V15" s="503">
        <v>10.478400020773567</v>
      </c>
      <c r="W15" s="503"/>
      <c r="X15" s="503">
        <v>58</v>
      </c>
      <c r="Y15" s="503"/>
      <c r="Z15" s="503">
        <v>1</v>
      </c>
      <c r="AA15" s="503"/>
      <c r="AB15" s="503">
        <v>21.437669137193488</v>
      </c>
      <c r="AC15" s="382"/>
      <c r="AD15" s="382">
        <v>0.3696149851240257</v>
      </c>
      <c r="AG15" s="286"/>
    </row>
    <row r="16" spans="1:30" s="13" customFormat="1" ht="12.75">
      <c r="A16" s="13" t="s">
        <v>131</v>
      </c>
      <c r="B16" s="382">
        <v>32.639430186216714</v>
      </c>
      <c r="C16" s="382"/>
      <c r="D16" s="382">
        <v>1.5000000000000013</v>
      </c>
      <c r="E16" s="382"/>
      <c r="F16" s="382">
        <v>32.149838733423465</v>
      </c>
      <c r="G16" s="382"/>
      <c r="H16" s="382">
        <v>9</v>
      </c>
      <c r="I16" s="382"/>
      <c r="J16" s="382">
        <v>29.256353247415348</v>
      </c>
      <c r="K16" s="382"/>
      <c r="L16" s="382">
        <v>12</v>
      </c>
      <c r="M16" s="382"/>
      <c r="N16" s="382">
        <v>23</v>
      </c>
      <c r="O16" s="382"/>
      <c r="P16" s="293">
        <f>(1/100)*41.73725</f>
        <v>0.41737250000000004</v>
      </c>
      <c r="Q16" s="382"/>
      <c r="R16" s="382">
        <v>19.016629610819972</v>
      </c>
      <c r="S16" s="382"/>
      <c r="T16" s="382">
        <v>0.8336056815701907</v>
      </c>
      <c r="U16" s="382"/>
      <c r="V16" s="503">
        <v>23.632304269674115</v>
      </c>
      <c r="W16" s="503"/>
      <c r="X16" s="503">
        <v>72</v>
      </c>
      <c r="Y16" s="503"/>
      <c r="Z16" s="503">
        <v>50</v>
      </c>
      <c r="AA16" s="503"/>
      <c r="AB16" s="503">
        <v>34.030518148330735</v>
      </c>
      <c r="AC16" s="382"/>
      <c r="AD16" s="382">
        <v>0.47264608539348235</v>
      </c>
    </row>
    <row r="17" spans="1:33" s="13" customFormat="1" ht="12.75">
      <c r="A17" s="13" t="s">
        <v>750</v>
      </c>
      <c r="B17" s="382">
        <v>16.05558797982323</v>
      </c>
      <c r="C17" s="382"/>
      <c r="D17" s="382"/>
      <c r="E17" s="382"/>
      <c r="F17" s="382">
        <v>16.024033028076133</v>
      </c>
      <c r="G17" s="382"/>
      <c r="H17" s="382"/>
      <c r="I17" s="382"/>
      <c r="J17" s="382">
        <v>14.711698524607277</v>
      </c>
      <c r="K17" s="382"/>
      <c r="L17" s="382"/>
      <c r="M17" s="382"/>
      <c r="N17" s="382"/>
      <c r="O17" s="382"/>
      <c r="P17" s="293">
        <f>(1/100)*39.6112700715435</f>
        <v>0.39611270071543503</v>
      </c>
      <c r="Q17" s="382"/>
      <c r="R17" s="382">
        <v>9.695914682429416</v>
      </c>
      <c r="S17" s="382"/>
      <c r="T17" s="382">
        <v>0.4250263970380018</v>
      </c>
      <c r="U17" s="382"/>
      <c r="V17" s="503">
        <v>12.049285842828834</v>
      </c>
      <c r="W17" s="503"/>
      <c r="X17" s="503">
        <f>AB17/T17</f>
        <v>33.830181279298586</v>
      </c>
      <c r="Y17" s="503"/>
      <c r="Z17" s="503"/>
      <c r="AA17" s="503"/>
      <c r="AB17" s="503">
        <v>14.378720060282737</v>
      </c>
      <c r="AC17" s="382"/>
      <c r="AD17" s="382">
        <v>0.4250263970380018</v>
      </c>
      <c r="AG17" s="286"/>
    </row>
    <row r="18" spans="2:30" s="13" customFormat="1" ht="12.75">
      <c r="B18" s="382"/>
      <c r="C18" s="382"/>
      <c r="D18" s="382"/>
      <c r="E18" s="382"/>
      <c r="F18" s="382"/>
      <c r="G18" s="382"/>
      <c r="H18" s="382"/>
      <c r="I18" s="382"/>
      <c r="J18" s="382"/>
      <c r="K18" s="382"/>
      <c r="L18" s="382"/>
      <c r="M18" s="382"/>
      <c r="N18" s="382"/>
      <c r="O18" s="382"/>
      <c r="P18" s="523"/>
      <c r="Q18" s="382"/>
      <c r="R18" s="382"/>
      <c r="S18" s="382"/>
      <c r="T18" s="382"/>
      <c r="U18" s="382"/>
      <c r="V18" s="503"/>
      <c r="W18" s="503"/>
      <c r="X18" s="503"/>
      <c r="Y18" s="503"/>
      <c r="Z18" s="503"/>
      <c r="AA18" s="503"/>
      <c r="AB18" s="503"/>
      <c r="AC18" s="382"/>
      <c r="AD18" s="382"/>
    </row>
    <row r="19" spans="1:30" s="13" customFormat="1" ht="12.75">
      <c r="A19" s="13" t="s">
        <v>133</v>
      </c>
      <c r="B19" s="382">
        <v>6.542217286209995</v>
      </c>
      <c r="C19" s="382"/>
      <c r="D19" s="382">
        <v>0.2</v>
      </c>
      <c r="E19" s="382"/>
      <c r="F19" s="382">
        <v>6.528329353029287</v>
      </c>
      <c r="G19" s="382"/>
      <c r="H19" s="382">
        <v>6</v>
      </c>
      <c r="I19" s="382"/>
      <c r="J19" s="382">
        <v>6.136629591847528</v>
      </c>
      <c r="K19" s="382"/>
      <c r="L19" s="382">
        <v>0</v>
      </c>
      <c r="M19" s="382"/>
      <c r="N19" s="382">
        <v>4</v>
      </c>
      <c r="O19" s="382"/>
      <c r="P19" s="293">
        <f>(1/100)*9.94048</f>
        <v>0.09940480000000002</v>
      </c>
      <c r="Q19" s="382"/>
      <c r="R19" s="382">
        <v>5.891164408173627</v>
      </c>
      <c r="S19" s="382"/>
      <c r="T19" s="382">
        <v>0.25824282337199456</v>
      </c>
      <c r="U19" s="382"/>
      <c r="V19" s="503">
        <v>7.321054921184361</v>
      </c>
      <c r="W19" s="503"/>
      <c r="X19" s="503">
        <v>80</v>
      </c>
      <c r="Y19" s="503"/>
      <c r="Z19" s="503">
        <v>0.5</v>
      </c>
      <c r="AA19" s="503"/>
      <c r="AB19" s="503">
        <v>41.31885173951914</v>
      </c>
      <c r="AC19" s="382"/>
      <c r="AD19" s="382">
        <v>0.5164856467439891</v>
      </c>
    </row>
    <row r="20" spans="1:30" s="13" customFormat="1" ht="12.75">
      <c r="A20" s="13" t="s">
        <v>751</v>
      </c>
      <c r="B20" s="382">
        <v>3.6327767310307104</v>
      </c>
      <c r="C20" s="382"/>
      <c r="D20" s="382"/>
      <c r="E20" s="382"/>
      <c r="F20" s="382">
        <v>3.624832461509812</v>
      </c>
      <c r="G20" s="382"/>
      <c r="H20" s="382"/>
      <c r="I20" s="382"/>
      <c r="J20" s="382">
        <v>3.4073425138192235</v>
      </c>
      <c r="K20" s="382"/>
      <c r="L20" s="382"/>
      <c r="M20" s="382"/>
      <c r="N20" s="382"/>
      <c r="O20" s="382"/>
      <c r="P20" s="292">
        <f>(1/100)*23.2520779109347</f>
        <v>0.23252077910934701</v>
      </c>
      <c r="Q20" s="382"/>
      <c r="R20" s="382">
        <v>2.787327648574186</v>
      </c>
      <c r="S20" s="382"/>
      <c r="T20" s="382">
        <v>0.12218422569092321</v>
      </c>
      <c r="U20" s="382"/>
      <c r="V20" s="503">
        <v>3.463861706224828</v>
      </c>
      <c r="W20" s="503"/>
      <c r="X20" s="503"/>
      <c r="Y20" s="503"/>
      <c r="Z20" s="503"/>
      <c r="AA20" s="503"/>
      <c r="AB20" s="503">
        <v>21.61782084850406</v>
      </c>
      <c r="AC20" s="382"/>
      <c r="AD20" s="382">
        <v>0.24436845138184643</v>
      </c>
    </row>
    <row r="21" spans="1:30" s="13" customFormat="1" ht="12.75">
      <c r="A21" s="71" t="s">
        <v>752</v>
      </c>
      <c r="B21" s="382">
        <v>1.321270701599696</v>
      </c>
      <c r="C21" s="382"/>
      <c r="D21" s="382">
        <v>0.2</v>
      </c>
      <c r="E21" s="382"/>
      <c r="F21" s="382">
        <v>1.3180587942832225</v>
      </c>
      <c r="G21" s="382"/>
      <c r="H21" s="382">
        <v>6</v>
      </c>
      <c r="I21" s="382"/>
      <c r="J21" s="382">
        <v>1.238975266626229</v>
      </c>
      <c r="K21" s="382"/>
      <c r="L21" s="382">
        <v>0</v>
      </c>
      <c r="M21" s="382"/>
      <c r="N21" s="382">
        <v>21</v>
      </c>
      <c r="O21" s="382"/>
      <c r="P21" s="292">
        <f>(1/100)*25.88852</f>
        <v>0.2588852</v>
      </c>
      <c r="Q21" s="382"/>
      <c r="R21" s="382">
        <v>0.9787904606347209</v>
      </c>
      <c r="S21" s="382"/>
      <c r="T21" s="382">
        <v>0.04290588320590557</v>
      </c>
      <c r="U21" s="382"/>
      <c r="V21" s="503">
        <v>1.21636033594582</v>
      </c>
      <c r="W21" s="503"/>
      <c r="X21" s="503">
        <v>82</v>
      </c>
      <c r="Y21" s="503"/>
      <c r="Z21" s="503">
        <v>0.5</v>
      </c>
      <c r="AA21" s="503"/>
      <c r="AB21" s="503">
        <v>7.036564845768515</v>
      </c>
      <c r="AC21" s="382"/>
      <c r="AD21" s="382">
        <v>0.08581176641181114</v>
      </c>
    </row>
    <row r="22" spans="1:30" s="13" customFormat="1" ht="12.75">
      <c r="A22" s="71" t="s">
        <v>755</v>
      </c>
      <c r="B22" s="382">
        <v>0.5024233096421689</v>
      </c>
      <c r="C22" s="382"/>
      <c r="D22" s="382">
        <v>0.2</v>
      </c>
      <c r="E22" s="382"/>
      <c r="F22" s="382">
        <v>0.5015415530478895</v>
      </c>
      <c r="G22" s="382"/>
      <c r="H22" s="382">
        <v>6</v>
      </c>
      <c r="I22" s="382"/>
      <c r="J22" s="382">
        <v>0.4714490598650163</v>
      </c>
      <c r="K22" s="382"/>
      <c r="L22" s="382">
        <v>0</v>
      </c>
      <c r="M22" s="382"/>
      <c r="N22" s="382">
        <v>18</v>
      </c>
      <c r="O22" s="382"/>
      <c r="P22" s="293">
        <f>(1/100)*23.07416</f>
        <v>0.2307416</v>
      </c>
      <c r="Q22" s="382"/>
      <c r="R22" s="382">
        <v>0.3865882290893133</v>
      </c>
      <c r="S22" s="382"/>
      <c r="T22" s="382">
        <v>0.016946333329942498</v>
      </c>
      <c r="U22" s="382"/>
      <c r="V22" s="503">
        <v>0.48042007673720494</v>
      </c>
      <c r="W22" s="503"/>
      <c r="X22" s="503">
        <v>93</v>
      </c>
      <c r="Y22" s="503"/>
      <c r="Z22" s="503">
        <v>0.5</v>
      </c>
      <c r="AA22" s="503"/>
      <c r="AB22" s="503">
        <v>3.1520179993693054</v>
      </c>
      <c r="AC22" s="382"/>
      <c r="AD22" s="382">
        <v>0.033892666659884996</v>
      </c>
    </row>
    <row r="23" spans="1:30" s="13" customFormat="1" ht="12.75">
      <c r="A23" s="71" t="s">
        <v>754</v>
      </c>
      <c r="B23" s="382">
        <v>0.46382079129137754</v>
      </c>
      <c r="C23" s="382"/>
      <c r="D23" s="382">
        <v>0.2</v>
      </c>
      <c r="E23" s="382"/>
      <c r="F23" s="382">
        <v>0.46288965916073865</v>
      </c>
      <c r="G23" s="382"/>
      <c r="H23" s="382">
        <v>6</v>
      </c>
      <c r="I23" s="382"/>
      <c r="J23" s="382">
        <v>0.4351162796110943</v>
      </c>
      <c r="K23" s="382"/>
      <c r="L23" s="382">
        <v>0</v>
      </c>
      <c r="M23" s="382"/>
      <c r="N23" s="382">
        <v>14</v>
      </c>
      <c r="O23" s="382"/>
      <c r="P23" s="292">
        <f>(1/100)*19.32168</f>
        <v>0.19321680000000002</v>
      </c>
      <c r="Q23" s="382"/>
      <c r="R23" s="382">
        <v>0.37420000046554114</v>
      </c>
      <c r="S23" s="382"/>
      <c r="T23" s="382">
        <v>0.016403287691640157</v>
      </c>
      <c r="U23" s="382"/>
      <c r="V23" s="503">
        <v>0.4650250044141527</v>
      </c>
      <c r="W23" s="503"/>
      <c r="X23" s="503">
        <v>98</v>
      </c>
      <c r="Y23" s="503"/>
      <c r="Z23" s="503">
        <v>0.5</v>
      </c>
      <c r="AA23" s="503"/>
      <c r="AB23" s="503">
        <v>3.215044387561471</v>
      </c>
      <c r="AC23" s="382"/>
      <c r="AD23" s="382">
        <v>0.032806575383280315</v>
      </c>
    </row>
    <row r="24" spans="1:30" s="13" customFormat="1" ht="12.75">
      <c r="A24" s="71" t="s">
        <v>753</v>
      </c>
      <c r="B24" s="382">
        <v>0.05387788327521838</v>
      </c>
      <c r="C24" s="382"/>
      <c r="D24" s="382">
        <v>0.2</v>
      </c>
      <c r="E24" s="382"/>
      <c r="F24" s="382">
        <v>0.053777666089617725</v>
      </c>
      <c r="G24" s="382"/>
      <c r="H24" s="382">
        <v>6</v>
      </c>
      <c r="I24" s="382"/>
      <c r="J24" s="382">
        <v>0.05055100612424066</v>
      </c>
      <c r="K24" s="382"/>
      <c r="L24" s="382">
        <v>0</v>
      </c>
      <c r="M24" s="382"/>
      <c r="N24" s="382">
        <v>20</v>
      </c>
      <c r="O24" s="382"/>
      <c r="P24" s="292">
        <f>(1/100)*24.9504</f>
        <v>0.24950399999999998</v>
      </c>
      <c r="Q24" s="382"/>
      <c r="R24" s="382">
        <v>0.040440804899392536</v>
      </c>
      <c r="S24" s="382"/>
      <c r="T24" s="382">
        <v>0.0017727476120281659</v>
      </c>
      <c r="U24" s="382"/>
      <c r="V24" s="503">
        <v>0.050256508427192495</v>
      </c>
      <c r="W24" s="503"/>
      <c r="X24" s="503">
        <v>89</v>
      </c>
      <c r="Y24" s="503"/>
      <c r="Z24" s="503">
        <v>0.5</v>
      </c>
      <c r="AA24" s="503"/>
      <c r="AB24" s="503">
        <v>0.31554907494101353</v>
      </c>
      <c r="AC24" s="382"/>
      <c r="AD24" s="382">
        <v>0.0035454952240563317</v>
      </c>
    </row>
    <row r="25" spans="1:30" s="13" customFormat="1" ht="12.75">
      <c r="A25" s="71" t="s">
        <v>756</v>
      </c>
      <c r="B25" s="382">
        <v>0.11065521729317943</v>
      </c>
      <c r="C25" s="382"/>
      <c r="D25" s="382">
        <v>0.2</v>
      </c>
      <c r="E25" s="382"/>
      <c r="F25" s="382">
        <v>0.11043935633784285</v>
      </c>
      <c r="G25" s="382"/>
      <c r="H25" s="382">
        <v>6</v>
      </c>
      <c r="I25" s="382"/>
      <c r="J25" s="382">
        <v>0.10381299495757228</v>
      </c>
      <c r="K25" s="382"/>
      <c r="L25" s="382">
        <v>0</v>
      </c>
      <c r="M25" s="382"/>
      <c r="N25" s="382">
        <v>8</v>
      </c>
      <c r="O25" s="382"/>
      <c r="P25" s="293">
        <f>(1/100)*13.69296</f>
        <v>0.13692959999999998</v>
      </c>
      <c r="Q25" s="382"/>
      <c r="R25" s="382">
        <v>0.09550795536096648</v>
      </c>
      <c r="S25" s="382"/>
      <c r="T25" s="382">
        <v>0.0041866500980149695</v>
      </c>
      <c r="U25" s="382"/>
      <c r="V25" s="503">
        <v>0.11868943695367537</v>
      </c>
      <c r="W25" s="503"/>
      <c r="X25" s="503">
        <v>102</v>
      </c>
      <c r="Y25" s="503"/>
      <c r="Z25" s="503">
        <v>0.5</v>
      </c>
      <c r="AA25" s="503"/>
      <c r="AB25" s="503">
        <v>0.8540766199950538</v>
      </c>
      <c r="AC25" s="382"/>
      <c r="AD25" s="382">
        <v>0.008373300196029939</v>
      </c>
    </row>
    <row r="26" spans="1:30" s="13" customFormat="1" ht="12.75">
      <c r="A26" s="71" t="s">
        <v>757</v>
      </c>
      <c r="B26" s="382">
        <v>0.19760235286448768</v>
      </c>
      <c r="C26" s="382"/>
      <c r="D26" s="382">
        <v>0.2</v>
      </c>
      <c r="E26" s="382"/>
      <c r="F26" s="382">
        <v>0.19686780231349027</v>
      </c>
      <c r="G26" s="382"/>
      <c r="H26" s="382">
        <v>6</v>
      </c>
      <c r="I26" s="382"/>
      <c r="J26" s="382">
        <v>0.18505573417468085</v>
      </c>
      <c r="K26" s="382"/>
      <c r="L26" s="382">
        <v>0</v>
      </c>
      <c r="M26" s="382"/>
      <c r="N26" s="382">
        <v>16</v>
      </c>
      <c r="O26" s="382"/>
      <c r="P26" s="293">
        <f>(1/100)*21.19792</f>
        <v>0.2119792</v>
      </c>
      <c r="Q26" s="382"/>
      <c r="R26" s="382">
        <v>0.1554468167067319</v>
      </c>
      <c r="S26" s="382"/>
      <c r="T26" s="382">
        <v>0.006814107033719756</v>
      </c>
      <c r="U26" s="382"/>
      <c r="V26" s="503">
        <v>0.19317652735243823</v>
      </c>
      <c r="W26" s="503"/>
      <c r="X26" s="503">
        <v>79</v>
      </c>
      <c r="Y26" s="503"/>
      <c r="Z26" s="503">
        <v>0.5</v>
      </c>
      <c r="AA26" s="503"/>
      <c r="AB26" s="503">
        <v>1.0766289113277214</v>
      </c>
      <c r="AC26" s="382"/>
      <c r="AD26" s="382">
        <v>0.013628214067439512</v>
      </c>
    </row>
    <row r="27" spans="1:30" s="13" customFormat="1" ht="12.75">
      <c r="A27" s="71" t="s">
        <v>758</v>
      </c>
      <c r="B27" s="382">
        <v>0.9831264750645824</v>
      </c>
      <c r="C27" s="382"/>
      <c r="D27" s="382">
        <v>0.2</v>
      </c>
      <c r="E27" s="382"/>
      <c r="F27" s="382">
        <v>0.981257630277011</v>
      </c>
      <c r="G27" s="382"/>
      <c r="H27" s="382">
        <v>6</v>
      </c>
      <c r="I27" s="382"/>
      <c r="J27" s="382">
        <v>0.9223821724603901</v>
      </c>
      <c r="K27" s="382"/>
      <c r="L27" s="382">
        <v>0</v>
      </c>
      <c r="M27" s="382"/>
      <c r="N27" s="382">
        <v>18</v>
      </c>
      <c r="O27" s="382"/>
      <c r="P27" s="293">
        <f>(1/100)*23.07416</f>
        <v>0.2307416</v>
      </c>
      <c r="Q27" s="382"/>
      <c r="R27" s="382">
        <v>0.7563533814175198</v>
      </c>
      <c r="S27" s="382"/>
      <c r="T27" s="382">
        <v>0.03315521671967211</v>
      </c>
      <c r="U27" s="382"/>
      <c r="V27" s="503">
        <v>0.9399338163943444</v>
      </c>
      <c r="W27" s="503"/>
      <c r="X27" s="503">
        <v>90</v>
      </c>
      <c r="Y27" s="503"/>
      <c r="Z27" s="503">
        <v>0.5</v>
      </c>
      <c r="AA27" s="503"/>
      <c r="AB27" s="503">
        <v>5.96793900954098</v>
      </c>
      <c r="AC27" s="382"/>
      <c r="AD27" s="382">
        <v>0.06631043343934422</v>
      </c>
    </row>
    <row r="28" spans="2:32" s="13" customFormat="1" ht="12.75">
      <c r="B28" s="382"/>
      <c r="C28" s="382"/>
      <c r="D28" s="382"/>
      <c r="E28" s="382"/>
      <c r="F28" s="382"/>
      <c r="G28" s="382"/>
      <c r="H28" s="382"/>
      <c r="I28" s="382"/>
      <c r="J28" s="382"/>
      <c r="K28" s="382"/>
      <c r="L28" s="382"/>
      <c r="M28" s="382"/>
      <c r="N28" s="382"/>
      <c r="O28" s="382"/>
      <c r="P28" s="382"/>
      <c r="Q28" s="382"/>
      <c r="R28" s="382"/>
      <c r="S28" s="382"/>
      <c r="T28" s="382"/>
      <c r="U28" s="382"/>
      <c r="V28" s="503"/>
      <c r="W28" s="503"/>
      <c r="X28" s="503"/>
      <c r="Y28" s="503"/>
      <c r="Z28" s="503"/>
      <c r="AA28" s="503"/>
      <c r="AB28" s="503"/>
      <c r="AC28" s="382"/>
      <c r="AD28" s="382"/>
      <c r="AF28" s="286"/>
    </row>
  </sheetData>
  <sheetProtection/>
  <mergeCells count="30">
    <mergeCell ref="A4:A7"/>
    <mergeCell ref="B4:C7"/>
    <mergeCell ref="D4:E7"/>
    <mergeCell ref="F4:G7"/>
    <mergeCell ref="H4:I7"/>
    <mergeCell ref="J4:K7"/>
    <mergeCell ref="L4:O4"/>
    <mergeCell ref="P4:Q7"/>
    <mergeCell ref="R4:W7"/>
    <mergeCell ref="X4:Y7"/>
    <mergeCell ref="Z4:AA7"/>
    <mergeCell ref="AB4:AC7"/>
    <mergeCell ref="AD4:AE7"/>
    <mergeCell ref="L5:M7"/>
    <mergeCell ref="N5:O7"/>
    <mergeCell ref="B8:C8"/>
    <mergeCell ref="D8:E8"/>
    <mergeCell ref="F8:G8"/>
    <mergeCell ref="H8:I8"/>
    <mergeCell ref="J8:K8"/>
    <mergeCell ref="L8:M8"/>
    <mergeCell ref="N8:O8"/>
    <mergeCell ref="AB8:AC8"/>
    <mergeCell ref="AD8:AE8"/>
    <mergeCell ref="P8:Q8"/>
    <mergeCell ref="R8:S8"/>
    <mergeCell ref="T8:U8"/>
    <mergeCell ref="V8:W8"/>
    <mergeCell ref="X8:Y8"/>
    <mergeCell ref="Z8:AA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S79"/>
  <sheetViews>
    <sheetView zoomScalePageLayoutView="0" workbookViewId="0" topLeftCell="A23">
      <selection activeCell="D86" sqref="D86"/>
    </sheetView>
  </sheetViews>
  <sheetFormatPr defaultColWidth="11.421875" defaultRowHeight="12.75"/>
  <cols>
    <col min="1" max="1" width="28.7109375" style="13" customWidth="1"/>
    <col min="2" max="2" width="11.421875" style="13" customWidth="1"/>
    <col min="3" max="3" width="18.421875" style="13" customWidth="1"/>
    <col min="4" max="4" width="15.421875" style="13" customWidth="1"/>
    <col min="5" max="5" width="9.7109375" style="13" bestFit="1" customWidth="1"/>
    <col min="6" max="7" width="11.421875" style="13" customWidth="1"/>
    <col min="8" max="8" width="13.421875" style="13" customWidth="1"/>
    <col min="9" max="9" width="14.28125" style="13" customWidth="1"/>
    <col min="10" max="10" width="11.421875" style="13" customWidth="1"/>
    <col min="11" max="11" width="12.421875" style="13" bestFit="1" customWidth="1"/>
    <col min="12" max="13" width="11.421875" style="13" customWidth="1"/>
    <col min="14" max="14" width="11.7109375" style="13" bestFit="1" customWidth="1"/>
    <col min="15" max="16384" width="11.421875" style="13" customWidth="1"/>
  </cols>
  <sheetData>
    <row r="1" s="17" customFormat="1" ht="15.75">
      <c r="A1" s="742" t="s">
        <v>328</v>
      </c>
    </row>
    <row r="2" spans="1:9" s="17" customFormat="1" ht="14.25" customHeight="1">
      <c r="A2" s="46" t="s">
        <v>1319</v>
      </c>
      <c r="I2" s="182"/>
    </row>
    <row r="3" spans="1:7" s="17" customFormat="1" ht="15">
      <c r="A3" s="17" t="s">
        <v>179</v>
      </c>
      <c r="C3" s="17">
        <v>14500000</v>
      </c>
      <c r="G3" s="703"/>
    </row>
    <row r="4" s="17" customFormat="1" ht="15">
      <c r="G4" s="703"/>
    </row>
    <row r="5" s="17" customFormat="1" ht="12.75"/>
    <row r="6" spans="1:9" s="17" customFormat="1" ht="12.75">
      <c r="A6" s="182" t="s">
        <v>277</v>
      </c>
      <c r="B6" s="17" t="s">
        <v>30</v>
      </c>
      <c r="C6" s="17">
        <f>C9/C7</f>
        <v>334555.0826186752</v>
      </c>
      <c r="D6" s="56"/>
      <c r="G6" s="405" t="s">
        <v>31</v>
      </c>
      <c r="I6" s="743"/>
    </row>
    <row r="7" spans="1:12" s="17" customFormat="1" ht="12.75">
      <c r="A7" s="17" t="s">
        <v>32</v>
      </c>
      <c r="B7" s="17" t="s">
        <v>33</v>
      </c>
      <c r="C7" s="17">
        <f>56.5*365</f>
        <v>20622.5</v>
      </c>
      <c r="G7" s="17" t="s">
        <v>34</v>
      </c>
      <c r="H7" s="17" t="s">
        <v>35</v>
      </c>
      <c r="I7" s="17" t="s">
        <v>36</v>
      </c>
      <c r="J7" s="17" t="s">
        <v>37</v>
      </c>
      <c r="L7" s="33"/>
    </row>
    <row r="8" spans="1:12" s="17" customFormat="1" ht="12.75">
      <c r="A8" s="17" t="s">
        <v>38</v>
      </c>
      <c r="B8" s="17" t="s">
        <v>39</v>
      </c>
      <c r="C8" s="734">
        <v>0.035</v>
      </c>
      <c r="G8" s="17">
        <v>100</v>
      </c>
      <c r="H8" s="734">
        <v>0.035</v>
      </c>
      <c r="I8" s="686">
        <v>93.6</v>
      </c>
      <c r="J8" s="686">
        <v>6.4</v>
      </c>
      <c r="K8" s="17" t="s">
        <v>40</v>
      </c>
      <c r="L8" s="33" t="s">
        <v>41</v>
      </c>
    </row>
    <row r="9" spans="1:12" s="17" customFormat="1" ht="15">
      <c r="A9" s="1375" t="s">
        <v>42</v>
      </c>
      <c r="B9" s="94" t="s">
        <v>33</v>
      </c>
      <c r="C9" s="17">
        <f>C70+C59+C19</f>
        <v>6899362191.303629</v>
      </c>
      <c r="G9" s="686"/>
      <c r="H9" s="687"/>
      <c r="J9" s="688"/>
      <c r="K9" s="686">
        <v>3.2</v>
      </c>
      <c r="L9" s="686">
        <v>3.2</v>
      </c>
    </row>
    <row r="10" spans="1:12" s="17" customFormat="1" ht="15">
      <c r="A10" s="1375"/>
      <c r="B10" s="84" t="s">
        <v>43</v>
      </c>
      <c r="C10" s="84">
        <f>C9/8.6</f>
        <v>802251417.5934453</v>
      </c>
      <c r="D10" s="688"/>
      <c r="G10" s="686"/>
      <c r="I10" s="688">
        <f>J8/(G8*(H8-0.01))</f>
        <v>2.56</v>
      </c>
      <c r="J10" s="688"/>
      <c r="K10" s="688"/>
      <c r="L10" s="33"/>
    </row>
    <row r="11" spans="1:12" s="17" customFormat="1" ht="15">
      <c r="A11" s="1375"/>
      <c r="B11" s="84" t="s">
        <v>571</v>
      </c>
      <c r="C11" s="84">
        <f>C10*16</f>
        <v>12836022681.495125</v>
      </c>
      <c r="D11" s="688"/>
      <c r="H11" s="17" t="s">
        <v>44</v>
      </c>
      <c r="I11" s="17" t="s">
        <v>45</v>
      </c>
      <c r="J11" s="688">
        <f>3.5-(I8*0.01)</f>
        <v>2.564</v>
      </c>
      <c r="K11" s="56"/>
      <c r="L11" s="33"/>
    </row>
    <row r="12" spans="9:12" s="17" customFormat="1" ht="12.75">
      <c r="I12" s="17" t="s">
        <v>46</v>
      </c>
      <c r="J12" s="688">
        <f>J8-J11</f>
        <v>3.8360000000000003</v>
      </c>
      <c r="L12" s="17" t="s">
        <v>47</v>
      </c>
    </row>
    <row r="13" spans="1:13" s="17" customFormat="1" ht="15">
      <c r="A13" s="689" t="s">
        <v>48</v>
      </c>
      <c r="B13" s="94"/>
      <c r="I13" s="17" t="s">
        <v>49</v>
      </c>
      <c r="J13" s="686">
        <f>J12+J11</f>
        <v>6.4</v>
      </c>
      <c r="L13" s="687">
        <f>J13/J11</f>
        <v>2.49609984399376</v>
      </c>
      <c r="M13" s="686">
        <f>100*(0.035-0.01)*2.56</f>
        <v>6.4</v>
      </c>
    </row>
    <row r="14" spans="1:4" s="17" customFormat="1" ht="12.75">
      <c r="A14" s="696" t="s">
        <v>923</v>
      </c>
      <c r="B14" s="690" t="s">
        <v>50</v>
      </c>
      <c r="C14" s="216">
        <v>1</v>
      </c>
      <c r="D14" s="182" t="s">
        <v>929</v>
      </c>
    </row>
    <row r="15" spans="1:11" s="17" customFormat="1" ht="12.75">
      <c r="A15" s="16" t="s">
        <v>52</v>
      </c>
      <c r="B15" s="690" t="s">
        <v>53</v>
      </c>
      <c r="C15" s="688">
        <f>C14*365/16</f>
        <v>22.8125</v>
      </c>
      <c r="J15" s="688"/>
      <c r="K15" s="723"/>
    </row>
    <row r="16" spans="1:10" s="17" customFormat="1" ht="12.75">
      <c r="A16" s="16" t="s">
        <v>54</v>
      </c>
      <c r="B16" s="690" t="s">
        <v>53</v>
      </c>
      <c r="C16" s="17">
        <f>C15*C3</f>
        <v>330781250</v>
      </c>
      <c r="D16" s="688"/>
      <c r="J16" s="688"/>
    </row>
    <row r="17" spans="1:6" s="17" customFormat="1" ht="12.75">
      <c r="A17" s="16" t="s">
        <v>55</v>
      </c>
      <c r="B17" s="690" t="s">
        <v>53</v>
      </c>
      <c r="C17" s="17">
        <f>C16/(1-E17)</f>
        <v>469859730.1136364</v>
      </c>
      <c r="D17" s="697" t="s">
        <v>56</v>
      </c>
      <c r="E17" s="721">
        <f>DairyCurrent!P10</f>
        <v>0.29600000000000004</v>
      </c>
      <c r="F17" s="182" t="s">
        <v>57</v>
      </c>
    </row>
    <row r="18" spans="1:6" s="17" customFormat="1" ht="12.75">
      <c r="A18" s="16" t="s">
        <v>58</v>
      </c>
      <c r="B18" s="690" t="s">
        <v>59</v>
      </c>
      <c r="C18" s="17">
        <f>C17*8.6</f>
        <v>4040793678.9772725</v>
      </c>
      <c r="D18" s="724" t="s">
        <v>60</v>
      </c>
      <c r="E18" s="690" t="s">
        <v>61</v>
      </c>
      <c r="F18" s="17" t="s">
        <v>62</v>
      </c>
    </row>
    <row r="19" spans="1:6" s="17" customFormat="1" ht="15">
      <c r="A19" s="690" t="s">
        <v>63</v>
      </c>
      <c r="B19" s="690" t="s">
        <v>59</v>
      </c>
      <c r="C19" s="17">
        <f>C18/(1-E19)</f>
        <v>4309731694.217024</v>
      </c>
      <c r="D19" s="725" t="s">
        <v>64</v>
      </c>
      <c r="E19" s="698">
        <f>(C8-0.01)*L13</f>
        <v>0.062402496099843996</v>
      </c>
      <c r="F19" s="726" t="s">
        <v>181</v>
      </c>
    </row>
    <row r="20" spans="1:4" s="17" customFormat="1" ht="12.75">
      <c r="A20" s="17" t="s">
        <v>65</v>
      </c>
      <c r="B20" s="17" t="s">
        <v>39</v>
      </c>
      <c r="C20" s="56">
        <f>C19/C9</f>
        <v>0.6246565370418252</v>
      </c>
      <c r="D20" s="624"/>
    </row>
    <row r="21" spans="1:5" s="17" customFormat="1" ht="12.75">
      <c r="A21" s="705" t="s">
        <v>506</v>
      </c>
      <c r="B21" s="182" t="s">
        <v>662</v>
      </c>
      <c r="C21" s="440">
        <f>C14*244*0.01</f>
        <v>2.44</v>
      </c>
      <c r="D21" s="688" t="s">
        <v>677</v>
      </c>
      <c r="E21" s="709"/>
    </row>
    <row r="22" spans="1:5" s="17" customFormat="1" ht="12.75">
      <c r="A22" s="705" t="s">
        <v>806</v>
      </c>
      <c r="B22" s="182" t="s">
        <v>807</v>
      </c>
      <c r="C22" s="17">
        <f>C14*DairyCurrent!Z12</f>
        <v>122</v>
      </c>
      <c r="D22" s="688"/>
      <c r="E22" s="709"/>
    </row>
    <row r="23" s="17" customFormat="1" ht="12.75">
      <c r="C23" s="727"/>
    </row>
    <row r="24" spans="1:4" s="17" customFormat="1" ht="15">
      <c r="A24" s="94" t="s">
        <v>66</v>
      </c>
      <c r="B24" s="17" t="s">
        <v>59</v>
      </c>
      <c r="C24" s="688">
        <f>C19*$E$19</f>
        <v>268938015.2397519</v>
      </c>
      <c r="D24" s="182" t="s">
        <v>67</v>
      </c>
    </row>
    <row r="25" s="17" customFormat="1" ht="15">
      <c r="A25" s="728"/>
    </row>
    <row r="26" s="17" customFormat="1" ht="15">
      <c r="A26" s="695" t="s">
        <v>68</v>
      </c>
    </row>
    <row r="27" spans="1:5" s="17" customFormat="1" ht="12.75">
      <c r="A27" s="16" t="s">
        <v>69</v>
      </c>
      <c r="B27" s="17" t="s">
        <v>70</v>
      </c>
      <c r="C27" s="688">
        <v>0.1</v>
      </c>
      <c r="D27" s="17" t="s">
        <v>51</v>
      </c>
      <c r="E27" s="17" t="s">
        <v>71</v>
      </c>
    </row>
    <row r="28" spans="1:4" s="17" customFormat="1" ht="12.75">
      <c r="A28" s="16" t="s">
        <v>72</v>
      </c>
      <c r="B28" s="17" t="s">
        <v>59</v>
      </c>
      <c r="C28" s="686">
        <f>C27*173.81259</f>
        <v>17.381259</v>
      </c>
      <c r="D28" s="17" t="s">
        <v>73</v>
      </c>
    </row>
    <row r="29" spans="1:6" s="17" customFormat="1" ht="12.75">
      <c r="A29" s="16" t="s">
        <v>74</v>
      </c>
      <c r="B29" s="17" t="s">
        <v>59</v>
      </c>
      <c r="C29" s="17">
        <f>C28*C3</f>
        <v>252028255.5</v>
      </c>
      <c r="D29" s="697" t="s">
        <v>56</v>
      </c>
      <c r="E29" s="698">
        <f>DairyCurrent!P24</f>
        <v>0.3312</v>
      </c>
      <c r="F29" s="17" t="s">
        <v>75</v>
      </c>
    </row>
    <row r="30" spans="1:4" s="17" customFormat="1" ht="15">
      <c r="A30" s="16" t="s">
        <v>58</v>
      </c>
      <c r="B30" s="17" t="s">
        <v>59</v>
      </c>
      <c r="C30" s="17">
        <f>C29/(1-E29)</f>
        <v>376836506.4294258</v>
      </c>
      <c r="D30" s="699"/>
    </row>
    <row r="31" spans="1:5" s="17" customFormat="1" ht="15">
      <c r="A31" s="17" t="s">
        <v>76</v>
      </c>
      <c r="B31" s="17" t="s">
        <v>59</v>
      </c>
      <c r="C31" s="17">
        <f>C30*0.2</f>
        <v>75367301.28588516</v>
      </c>
      <c r="D31" s="726" t="s">
        <v>924</v>
      </c>
      <c r="E31" s="688"/>
    </row>
    <row r="32" spans="1:5" s="17" customFormat="1" ht="15">
      <c r="A32" s="55" t="s">
        <v>77</v>
      </c>
      <c r="C32" s="700">
        <f>C31/C24</f>
        <v>0.2802404160627756</v>
      </c>
      <c r="D32" s="1220" t="s">
        <v>925</v>
      </c>
      <c r="E32" s="688"/>
    </row>
    <row r="33" spans="1:9" s="17" customFormat="1" ht="12.75">
      <c r="A33" s="17" t="s">
        <v>78</v>
      </c>
      <c r="B33" s="17" t="s">
        <v>59</v>
      </c>
      <c r="C33" s="17">
        <f>C30*0.7</f>
        <v>263785554.500598</v>
      </c>
      <c r="G33" s="701"/>
      <c r="H33" s="702"/>
      <c r="I33" s="702"/>
    </row>
    <row r="34" spans="1:9" s="17" customFormat="1" ht="15">
      <c r="A34" s="55" t="s">
        <v>79</v>
      </c>
      <c r="C34" s="700">
        <f>C33/C9</f>
        <v>0.0382333246445721</v>
      </c>
      <c r="D34" s="692" t="s">
        <v>80</v>
      </c>
      <c r="G34" s="701"/>
      <c r="H34" s="704"/>
      <c r="I34" s="701"/>
    </row>
    <row r="35" spans="1:9" s="17" customFormat="1" ht="15">
      <c r="A35" s="705" t="s">
        <v>665</v>
      </c>
      <c r="B35" s="182" t="s">
        <v>662</v>
      </c>
      <c r="C35" s="688">
        <f>(((C31*0.4)*(1-E29))*1.24271780821918)/C3</f>
        <v>1.728000007085592</v>
      </c>
      <c r="D35" s="703"/>
      <c r="G35" s="701"/>
      <c r="H35" s="706"/>
      <c r="I35" s="707"/>
    </row>
    <row r="36" spans="1:10" s="17" customFormat="1" ht="15">
      <c r="A36" s="705" t="s">
        <v>666</v>
      </c>
      <c r="B36" s="182" t="s">
        <v>662</v>
      </c>
      <c r="C36" s="688">
        <f>(((C33*0.04)*(1-E29)*1.24271780821918)/C3)</f>
        <v>0.6048000024799571</v>
      </c>
      <c r="D36" s="703"/>
      <c r="H36" s="688"/>
      <c r="I36" s="688"/>
      <c r="J36" s="686"/>
    </row>
    <row r="37" spans="1:9" s="17" customFormat="1" ht="15">
      <c r="A37" s="705" t="s">
        <v>667</v>
      </c>
      <c r="B37" s="182" t="s">
        <v>662</v>
      </c>
      <c r="C37" s="708">
        <f>C27*216*0.148</f>
        <v>3.1968</v>
      </c>
      <c r="D37" s="17" t="s">
        <v>676</v>
      </c>
      <c r="H37" s="688"/>
      <c r="I37" s="688"/>
    </row>
    <row r="38" spans="1:5" s="17" customFormat="1" ht="12.75">
      <c r="A38" s="705" t="s">
        <v>806</v>
      </c>
      <c r="B38" s="182" t="s">
        <v>807</v>
      </c>
      <c r="C38" s="17">
        <f>C27*DairyCurrent!Z23</f>
        <v>40.994393650290434</v>
      </c>
      <c r="D38" s="688"/>
      <c r="E38" s="709"/>
    </row>
    <row r="39" s="17" customFormat="1" ht="12.75">
      <c r="I39" s="688"/>
    </row>
    <row r="40" spans="1:4" s="17" customFormat="1" ht="15">
      <c r="A40" s="732" t="s">
        <v>81</v>
      </c>
      <c r="B40" s="17" t="s">
        <v>59</v>
      </c>
      <c r="C40" s="17">
        <f>C24-C31</f>
        <v>193570713.95386672</v>
      </c>
      <c r="D40" s="17" t="s">
        <v>82</v>
      </c>
    </row>
    <row r="41" spans="1:18" s="33" customFormat="1" ht="15">
      <c r="A41" s="691" t="s">
        <v>83</v>
      </c>
      <c r="B41" s="17" t="s">
        <v>59</v>
      </c>
      <c r="C41" s="17">
        <f>C40/2</f>
        <v>96785356.97693336</v>
      </c>
      <c r="D41" s="692" t="s">
        <v>664</v>
      </c>
      <c r="E41" s="17"/>
      <c r="F41" s="17"/>
      <c r="G41" s="17"/>
      <c r="H41" s="17"/>
      <c r="I41" s="17"/>
      <c r="J41" s="17"/>
      <c r="K41" s="17"/>
      <c r="L41" s="17"/>
      <c r="M41" s="17"/>
      <c r="N41" s="17" t="s">
        <v>84</v>
      </c>
      <c r="O41" s="17" t="s">
        <v>85</v>
      </c>
      <c r="P41" s="17" t="s">
        <v>86</v>
      </c>
      <c r="Q41" s="17" t="s">
        <v>87</v>
      </c>
      <c r="R41" s="17" t="s">
        <v>88</v>
      </c>
    </row>
    <row r="42" spans="1:19" s="33" customFormat="1" ht="15">
      <c r="A42" s="396" t="s">
        <v>89</v>
      </c>
      <c r="B42" s="17" t="s">
        <v>59</v>
      </c>
      <c r="C42" s="17">
        <f>C41*(1-E42)</f>
        <v>58506748.29255622</v>
      </c>
      <c r="D42" s="697" t="s">
        <v>56</v>
      </c>
      <c r="E42" s="721">
        <f>FatsCurrent!P8</f>
        <v>0.39549999999999996</v>
      </c>
      <c r="F42" s="17"/>
      <c r="G42" s="17"/>
      <c r="H42" s="17"/>
      <c r="I42" s="17"/>
      <c r="J42" s="17"/>
      <c r="K42" s="17"/>
      <c r="L42" s="17"/>
      <c r="M42" s="17"/>
      <c r="N42" s="686">
        <v>10.5</v>
      </c>
      <c r="O42" s="688">
        <v>2.15</v>
      </c>
      <c r="P42" s="688">
        <f>N42*O42</f>
        <v>22.575</v>
      </c>
      <c r="Q42" s="33">
        <v>1</v>
      </c>
      <c r="R42" s="623">
        <f>P42*0.0384</f>
        <v>0.8668799999999999</v>
      </c>
      <c r="S42" s="733"/>
    </row>
    <row r="43" spans="1:18" s="33" customFormat="1" ht="12.75">
      <c r="A43" s="396" t="s">
        <v>72</v>
      </c>
      <c r="B43" s="17" t="s">
        <v>59</v>
      </c>
      <c r="C43" s="688">
        <f>(C42)/C3</f>
        <v>4.034948158107325</v>
      </c>
      <c r="D43" s="17"/>
      <c r="E43" s="17"/>
      <c r="F43" s="17"/>
      <c r="G43" s="687"/>
      <c r="H43" s="17"/>
      <c r="I43" s="734"/>
      <c r="J43" s="17"/>
      <c r="K43" s="17"/>
      <c r="L43" s="17"/>
      <c r="M43" s="17"/>
      <c r="N43" s="686">
        <v>11</v>
      </c>
      <c r="O43" s="688">
        <v>2.15</v>
      </c>
      <c r="P43" s="688">
        <f>N43*O43</f>
        <v>23.65</v>
      </c>
      <c r="Q43" s="33">
        <v>1</v>
      </c>
      <c r="R43" s="623">
        <f>P43*0.0384</f>
        <v>0.9081599999999999</v>
      </c>
    </row>
    <row r="44" spans="1:16" s="33" customFormat="1" ht="15">
      <c r="A44" s="396" t="s">
        <v>90</v>
      </c>
      <c r="B44" s="17" t="s">
        <v>91</v>
      </c>
      <c r="C44" s="687">
        <f>C43*16/365</f>
        <v>0.1768744398074444</v>
      </c>
      <c r="D44" s="692" t="s">
        <v>92</v>
      </c>
      <c r="E44" s="692"/>
      <c r="F44" s="738">
        <f>0.172792597957523+0</f>
        <v>0.172792597957523</v>
      </c>
      <c r="G44" s="687"/>
      <c r="H44" s="692" t="s">
        <v>928</v>
      </c>
      <c r="I44" s="694">
        <f>(C44/F44)-1</f>
        <v>0.02362278186780231</v>
      </c>
      <c r="J44" s="692" t="s">
        <v>94</v>
      </c>
      <c r="K44" s="17"/>
      <c r="L44" s="17"/>
      <c r="M44" s="17"/>
      <c r="N44" s="17"/>
      <c r="O44" s="17"/>
      <c r="P44" s="17"/>
    </row>
    <row r="45" spans="1:16" s="33" customFormat="1" ht="15">
      <c r="A45" s="729" t="s">
        <v>661</v>
      </c>
      <c r="B45" s="182" t="s">
        <v>662</v>
      </c>
      <c r="C45" s="686">
        <f>((C44*0.8)*28.3495)</f>
        <v>4.0114415450569165</v>
      </c>
      <c r="D45" s="692" t="s">
        <v>95</v>
      </c>
      <c r="E45" s="692"/>
      <c r="F45" s="739">
        <f>F44+0.14526907546804</f>
        <v>0.318061673425563</v>
      </c>
      <c r="G45" s="56"/>
      <c r="H45" s="740"/>
      <c r="I45" s="694"/>
      <c r="J45" s="703"/>
      <c r="K45" s="17"/>
      <c r="L45" s="17"/>
      <c r="M45" s="17"/>
      <c r="N45" s="17"/>
      <c r="O45" s="17"/>
      <c r="P45" s="17"/>
    </row>
    <row r="46" spans="1:5" s="17" customFormat="1" ht="12.75">
      <c r="A46" s="705" t="s">
        <v>806</v>
      </c>
      <c r="B46" s="182" t="s">
        <v>807</v>
      </c>
      <c r="C46" s="17">
        <f>C45*9</f>
        <v>36.10297390551225</v>
      </c>
      <c r="D46" s="688"/>
      <c r="E46" s="709"/>
    </row>
    <row r="47" spans="1:16" s="33" customFormat="1" ht="15">
      <c r="A47" s="396"/>
      <c r="B47" s="17"/>
      <c r="C47" s="687"/>
      <c r="D47" s="216"/>
      <c r="E47" s="692"/>
      <c r="F47" s="730"/>
      <c r="G47" s="17"/>
      <c r="H47" s="17"/>
      <c r="I47" s="17"/>
      <c r="J47" s="17"/>
      <c r="K47" s="17"/>
      <c r="L47" s="17"/>
      <c r="M47" s="17"/>
      <c r="N47" s="17"/>
      <c r="O47" s="17"/>
      <c r="P47" s="17"/>
    </row>
    <row r="48" spans="1:16" s="33" customFormat="1" ht="15">
      <c r="A48" s="691" t="s">
        <v>96</v>
      </c>
      <c r="B48" s="17" t="s">
        <v>59</v>
      </c>
      <c r="C48" s="17">
        <f>C40/2</f>
        <v>96785356.97693336</v>
      </c>
      <c r="D48" s="692" t="s">
        <v>97</v>
      </c>
      <c r="E48" s="17"/>
      <c r="F48" s="17"/>
      <c r="G48" s="17"/>
      <c r="H48" s="17"/>
      <c r="I48" s="17"/>
      <c r="J48" s="17"/>
      <c r="K48" s="17"/>
      <c r="L48" s="17"/>
      <c r="M48" s="17"/>
      <c r="N48" s="688"/>
      <c r="O48" s="17"/>
      <c r="P48" s="17"/>
    </row>
    <row r="49" spans="1:16" s="33" customFormat="1" ht="15">
      <c r="A49" s="396" t="s">
        <v>89</v>
      </c>
      <c r="B49" s="17" t="s">
        <v>59</v>
      </c>
      <c r="C49" s="17">
        <f>C48*(1-0.3)</f>
        <v>67749749.88385335</v>
      </c>
      <c r="D49" s="692" t="s">
        <v>1371</v>
      </c>
      <c r="E49" s="17"/>
      <c r="F49" s="17"/>
      <c r="G49" s="17"/>
      <c r="H49" s="17"/>
      <c r="I49" s="17"/>
      <c r="J49" s="17"/>
      <c r="K49" s="17"/>
      <c r="L49" s="17"/>
      <c r="M49" s="17"/>
      <c r="N49" s="17"/>
      <c r="O49" s="17"/>
      <c r="P49" s="17"/>
    </row>
    <row r="50" spans="1:16" s="33" customFormat="1" ht="12.75">
      <c r="A50" s="396" t="s">
        <v>98</v>
      </c>
      <c r="B50" s="17" t="s">
        <v>59</v>
      </c>
      <c r="C50" s="688">
        <f>C49/C3</f>
        <v>4.672396543714024</v>
      </c>
      <c r="D50" s="17"/>
      <c r="E50" s="17"/>
      <c r="F50" s="17"/>
      <c r="G50" s="17"/>
      <c r="H50" s="17"/>
      <c r="I50" s="17"/>
      <c r="J50" s="17"/>
      <c r="K50" s="17"/>
      <c r="L50" s="17"/>
      <c r="M50" s="17"/>
      <c r="N50" s="17"/>
      <c r="O50" s="17"/>
      <c r="P50" s="17"/>
    </row>
    <row r="51" spans="1:16" s="33" customFormat="1" ht="15">
      <c r="A51" s="396" t="s">
        <v>69</v>
      </c>
      <c r="B51" s="17" t="s">
        <v>50</v>
      </c>
      <c r="C51" s="688">
        <f>C50*G51</f>
        <v>0.023699796988680643</v>
      </c>
      <c r="D51" s="17" t="s">
        <v>99</v>
      </c>
      <c r="E51" s="17"/>
      <c r="F51" s="692"/>
      <c r="G51" s="731">
        <v>0.0050723</v>
      </c>
      <c r="H51" s="17"/>
      <c r="I51" s="56"/>
      <c r="J51" s="17"/>
      <c r="K51" s="17"/>
      <c r="L51" s="17"/>
      <c r="M51" s="17"/>
      <c r="N51" s="17"/>
      <c r="O51" s="17"/>
      <c r="P51" s="17"/>
    </row>
    <row r="52" spans="1:16" s="33" customFormat="1" ht="15">
      <c r="A52" s="729" t="s">
        <v>806</v>
      </c>
      <c r="B52" s="182" t="s">
        <v>807</v>
      </c>
      <c r="C52" s="17">
        <f>C51*DairyCurrent!Z18</f>
        <v>2.322580104890703</v>
      </c>
      <c r="D52" s="692" t="s">
        <v>100</v>
      </c>
      <c r="E52" s="17"/>
      <c r="F52" s="17"/>
      <c r="G52" s="59">
        <v>0.005952435141360698</v>
      </c>
      <c r="H52" s="692"/>
      <c r="I52" s="694"/>
      <c r="J52" s="692"/>
      <c r="K52" s="17"/>
      <c r="L52" s="17"/>
      <c r="M52" s="17"/>
      <c r="N52" s="17"/>
      <c r="O52" s="17"/>
      <c r="P52" s="17"/>
    </row>
    <row r="53" s="17" customFormat="1" ht="12.75"/>
    <row r="54" spans="1:10" s="17" customFormat="1" ht="15">
      <c r="A54" s="691" t="s">
        <v>101</v>
      </c>
      <c r="H54" s="692"/>
      <c r="I54" s="692"/>
      <c r="J54" s="692"/>
    </row>
    <row r="55" spans="1:10" s="17" customFormat="1" ht="15">
      <c r="A55" s="396" t="s">
        <v>102</v>
      </c>
      <c r="B55" s="17" t="s">
        <v>50</v>
      </c>
      <c r="C55" s="688">
        <v>0.1</v>
      </c>
      <c r="F55" s="693"/>
      <c r="H55" s="692"/>
      <c r="I55" s="694"/>
      <c r="J55" s="692"/>
    </row>
    <row r="56" spans="1:7" s="17" customFormat="1" ht="15">
      <c r="A56" s="396" t="s">
        <v>72</v>
      </c>
      <c r="B56" s="17" t="s">
        <v>59</v>
      </c>
      <c r="C56" s="686">
        <f>C55*G56</f>
        <v>18.26642</v>
      </c>
      <c r="D56" s="17" t="s">
        <v>103</v>
      </c>
      <c r="G56" s="60">
        <v>182.6642</v>
      </c>
    </row>
    <row r="57" spans="1:3" s="17" customFormat="1" ht="12.75">
      <c r="A57" s="396" t="s">
        <v>104</v>
      </c>
      <c r="B57" s="17" t="s">
        <v>59</v>
      </c>
      <c r="C57" s="17">
        <f>C56*15000000</f>
        <v>273996300</v>
      </c>
    </row>
    <row r="58" spans="1:6" s="17" customFormat="1" ht="12.75">
      <c r="A58" s="396" t="s">
        <v>105</v>
      </c>
      <c r="B58" s="17" t="s">
        <v>59</v>
      </c>
      <c r="C58" s="17">
        <f>C57/(1-E58)</f>
        <v>394125863.0609896</v>
      </c>
      <c r="D58" s="16" t="s">
        <v>106</v>
      </c>
      <c r="E58" s="721">
        <f>DairyCurrent!P19</f>
        <v>0.3048</v>
      </c>
      <c r="F58" s="17" t="s">
        <v>75</v>
      </c>
    </row>
    <row r="59" spans="1:3" s="17" customFormat="1" ht="12.75">
      <c r="A59" s="396" t="s">
        <v>107</v>
      </c>
      <c r="B59" s="17" t="s">
        <v>59</v>
      </c>
      <c r="C59" s="17">
        <f>C58</f>
        <v>394125863.0609896</v>
      </c>
    </row>
    <row r="60" spans="1:3" s="17" customFormat="1" ht="12.75">
      <c r="A60" s="396" t="s">
        <v>108</v>
      </c>
      <c r="B60" s="686" t="s">
        <v>39</v>
      </c>
      <c r="C60" s="56">
        <f>C59/C9</f>
        <v>0.05712497070493988</v>
      </c>
    </row>
    <row r="61" spans="1:4" s="17" customFormat="1" ht="12.75">
      <c r="A61" s="729" t="s">
        <v>661</v>
      </c>
      <c r="B61" s="216" t="s">
        <v>662</v>
      </c>
      <c r="C61" s="440">
        <f>C55*227*0.04</f>
        <v>0.9080000000000001</v>
      </c>
      <c r="D61" s="182" t="s">
        <v>678</v>
      </c>
    </row>
    <row r="62" spans="1:5" s="17" customFormat="1" ht="12.75">
      <c r="A62" s="705" t="s">
        <v>806</v>
      </c>
      <c r="B62" s="182" t="s">
        <v>807</v>
      </c>
      <c r="C62" s="17">
        <f>C55*DairyCurrent!Z19</f>
        <v>13.8</v>
      </c>
      <c r="D62" s="688"/>
      <c r="E62" s="709"/>
    </row>
    <row r="63" spans="1:4" s="17" customFormat="1" ht="12.75">
      <c r="A63" s="33"/>
      <c r="D63" s="687"/>
    </row>
    <row r="64" spans="1:11" s="17" customFormat="1" ht="15">
      <c r="A64" s="719" t="s">
        <v>109</v>
      </c>
      <c r="K64" s="182"/>
    </row>
    <row r="65" spans="1:9" s="17" customFormat="1" ht="15">
      <c r="A65" s="16" t="s">
        <v>114</v>
      </c>
      <c r="B65" s="17" t="s">
        <v>70</v>
      </c>
      <c r="C65" s="741">
        <v>0.3191384744247733</v>
      </c>
      <c r="D65" s="17" t="s">
        <v>115</v>
      </c>
      <c r="F65" s="503">
        <f>DairyCurrent!AF21</f>
        <v>0.6313570270242277</v>
      </c>
      <c r="G65" s="720"/>
      <c r="H65" s="17" t="s">
        <v>93</v>
      </c>
      <c r="I65" s="56">
        <f>(C65/F65)-1</f>
        <v>-0.4945198029568669</v>
      </c>
    </row>
    <row r="66" spans="1:7" s="17" customFormat="1" ht="12.75">
      <c r="A66" s="16" t="s">
        <v>90</v>
      </c>
      <c r="B66" s="17" t="s">
        <v>91</v>
      </c>
      <c r="C66" s="688">
        <f>C65*1.5</f>
        <v>0.4787077116371599</v>
      </c>
      <c r="D66" s="17" t="s">
        <v>113</v>
      </c>
      <c r="G66" s="61"/>
    </row>
    <row r="67" spans="1:9" s="17" customFormat="1" ht="12.75">
      <c r="A67" s="396" t="s">
        <v>72</v>
      </c>
      <c r="B67" s="17" t="s">
        <v>59</v>
      </c>
      <c r="C67" s="688">
        <f>(C66*365)/16</f>
        <v>10.92051967172271</v>
      </c>
      <c r="I67" s="687"/>
    </row>
    <row r="68" spans="1:9" s="17" customFormat="1" ht="12.75">
      <c r="A68" s="16" t="s">
        <v>74</v>
      </c>
      <c r="B68" s="182" t="s">
        <v>59</v>
      </c>
      <c r="C68" s="17">
        <f>C67*C3</f>
        <v>158347535.2399793</v>
      </c>
      <c r="D68" s="16" t="s">
        <v>112</v>
      </c>
      <c r="E68" s="721">
        <f>DairyCurrent!P21</f>
        <v>0.27876474143606</v>
      </c>
      <c r="I68" s="687"/>
    </row>
    <row r="69" spans="1:9" s="17" customFormat="1" ht="15">
      <c r="A69" s="705" t="s">
        <v>663</v>
      </c>
      <c r="B69" s="17" t="s">
        <v>59</v>
      </c>
      <c r="C69" s="17">
        <f>C68/(1-E68)</f>
        <v>219550463.40256152</v>
      </c>
      <c r="D69" s="692" t="s">
        <v>675</v>
      </c>
      <c r="I69" s="687"/>
    </row>
    <row r="70" spans="1:9" s="17" customFormat="1" ht="12.75">
      <c r="A70" s="17" t="s">
        <v>111</v>
      </c>
      <c r="B70" s="17" t="s">
        <v>59</v>
      </c>
      <c r="C70" s="17">
        <f>C69*10</f>
        <v>2195504634.025615</v>
      </c>
      <c r="I70" s="687"/>
    </row>
    <row r="71" spans="1:14" s="17" customFormat="1" ht="15">
      <c r="A71" s="55" t="s">
        <v>110</v>
      </c>
      <c r="B71" s="17" t="s">
        <v>39</v>
      </c>
      <c r="C71" s="56">
        <f>C70/C9</f>
        <v>0.31821849225323484</v>
      </c>
      <c r="K71" s="703"/>
      <c r="L71" s="688"/>
      <c r="M71" s="688"/>
      <c r="N71" s="284"/>
    </row>
    <row r="72" spans="1:9" s="17" customFormat="1" ht="15">
      <c r="A72" s="705" t="s">
        <v>661</v>
      </c>
      <c r="B72" s="182" t="s">
        <v>662</v>
      </c>
      <c r="C72" s="688">
        <f>C67*0.35*(453.592/365)</f>
        <v>4.749893494870182</v>
      </c>
      <c r="D72" s="182" t="s">
        <v>926</v>
      </c>
      <c r="F72" s="722"/>
      <c r="G72" s="720"/>
      <c r="I72" s="56"/>
    </row>
    <row r="73" spans="1:10" s="17" customFormat="1" ht="12.75">
      <c r="A73" s="705" t="s">
        <v>806</v>
      </c>
      <c r="B73" s="182" t="s">
        <v>807</v>
      </c>
      <c r="C73" s="17">
        <f>C65*DairyCurrent!Z21</f>
        <v>49.41079367357668</v>
      </c>
      <c r="E73" s="17" t="s">
        <v>116</v>
      </c>
      <c r="J73" s="687"/>
    </row>
    <row r="74" spans="1:10" s="17" customFormat="1" ht="12.75">
      <c r="A74" s="16"/>
      <c r="C74" s="709"/>
      <c r="J74" s="687"/>
    </row>
    <row r="75" spans="1:4" s="17" customFormat="1" ht="15">
      <c r="A75" s="17" t="s">
        <v>117</v>
      </c>
      <c r="B75" s="17" t="s">
        <v>59</v>
      </c>
      <c r="C75" s="17">
        <f>C70-C69</f>
        <v>1975954170.6230538</v>
      </c>
      <c r="D75" s="692" t="s">
        <v>1372</v>
      </c>
    </row>
    <row r="76" s="17" customFormat="1" ht="15">
      <c r="D76" s="703"/>
    </row>
    <row r="77" spans="1:5" s="17" customFormat="1" ht="12.75">
      <c r="A77" s="16"/>
      <c r="D77" s="16"/>
      <c r="E77" s="56"/>
    </row>
    <row r="78" spans="1:9" s="17" customFormat="1" ht="15">
      <c r="A78" s="735" t="s">
        <v>118</v>
      </c>
      <c r="B78" s="736" t="s">
        <v>70</v>
      </c>
      <c r="C78" s="737">
        <f>C14+C27+C51+C55+C65</f>
        <v>1.542838271413454</v>
      </c>
      <c r="D78" s="17" t="s">
        <v>119</v>
      </c>
      <c r="I78" s="56">
        <f>(C78/C79)-1</f>
        <v>0.010204605885648421</v>
      </c>
    </row>
    <row r="79" spans="1:5" s="17" customFormat="1" ht="12.75">
      <c r="A79" s="705" t="s">
        <v>791</v>
      </c>
      <c r="B79" s="17" t="s">
        <v>70</v>
      </c>
      <c r="C79" s="18">
        <f>DairyCurrent!AF44</f>
        <v>1.527253253870135</v>
      </c>
      <c r="E79" s="182" t="s">
        <v>930</v>
      </c>
    </row>
  </sheetData>
  <sheetProtection/>
  <mergeCells count="1">
    <mergeCell ref="A9:A11"/>
  </mergeCells>
  <printOptions/>
  <pageMargins left="0.7" right="0.7" top="0.75" bottom="0.75" header="0.3" footer="0.3"/>
  <pageSetup orientation="portrait"/>
  <legacyDrawing r:id="rId2"/>
</worksheet>
</file>

<file path=xl/worksheets/sheet17.xml><?xml version="1.0" encoding="utf-8"?>
<worksheet xmlns="http://schemas.openxmlformats.org/spreadsheetml/2006/main" xmlns:r="http://schemas.openxmlformats.org/officeDocument/2006/relationships">
  <dimension ref="A1:AP48"/>
  <sheetViews>
    <sheetView zoomScalePageLayoutView="0" workbookViewId="0" topLeftCell="A1">
      <pane xSplit="1" ySplit="7" topLeftCell="V8" activePane="bottomRight" state="frozen"/>
      <selection pane="topLeft" activeCell="A1" sqref="A1"/>
      <selection pane="topRight" activeCell="B1" sqref="B1"/>
      <selection pane="bottomLeft" activeCell="A7" sqref="A7"/>
      <selection pane="bottomRight" activeCell="AF8" sqref="AF8"/>
    </sheetView>
  </sheetViews>
  <sheetFormatPr defaultColWidth="8.8515625" defaultRowHeight="12.75"/>
  <cols>
    <col min="1" max="1" width="28.421875" style="0" customWidth="1"/>
    <col min="2" max="2" width="8.8515625" style="0" customWidth="1"/>
    <col min="3" max="3" width="2.140625" style="0" hidden="1" customWidth="1"/>
    <col min="4" max="4" width="9.140625" style="0" hidden="1" customWidth="1"/>
    <col min="5" max="5" width="1.8515625" style="0" hidden="1" customWidth="1"/>
    <col min="6" max="6" width="9.140625" style="0" hidden="1" customWidth="1"/>
    <col min="7" max="7" width="1.1484375" style="0" hidden="1" customWidth="1"/>
    <col min="8" max="8" width="9.140625" style="0" hidden="1" customWidth="1"/>
    <col min="9" max="9" width="1.28515625" style="0" hidden="1" customWidth="1"/>
    <col min="10" max="10" width="9.140625" style="0" hidden="1" customWidth="1"/>
    <col min="11" max="11" width="1.421875" style="0" hidden="1" customWidth="1"/>
    <col min="12" max="12" width="9.140625" style="0" hidden="1" customWidth="1"/>
    <col min="13" max="13" width="1.28515625" style="0" hidden="1" customWidth="1"/>
    <col min="14" max="14" width="9.140625" style="0" hidden="1" customWidth="1"/>
    <col min="15" max="15" width="1.7109375" style="0" hidden="1" customWidth="1"/>
    <col min="16" max="16" width="8.8515625" style="0" customWidth="1"/>
    <col min="17" max="17" width="0.85546875" style="0" hidden="1" customWidth="1"/>
    <col min="18" max="18" width="8.8515625" style="0" customWidth="1"/>
    <col min="19" max="19" width="1.28515625" style="0" hidden="1" customWidth="1"/>
    <col min="20" max="20" width="8.8515625" style="0" customWidth="1"/>
    <col min="21" max="21" width="0.85546875" style="0" hidden="1" customWidth="1"/>
    <col min="22" max="22" width="8.8515625" style="0" customWidth="1"/>
    <col min="23" max="23" width="1.28515625" style="0" hidden="1" customWidth="1"/>
    <col min="24" max="24" width="8.8515625" style="0" customWidth="1"/>
    <col min="25" max="25" width="1.421875" style="0" hidden="1" customWidth="1"/>
    <col min="26" max="26" width="9.140625" style="0" customWidth="1"/>
    <col min="27" max="27" width="1.28515625" style="0" customWidth="1"/>
    <col min="28" max="28" width="9.140625" style="0" customWidth="1"/>
    <col min="29" max="29" width="1.28515625" style="0" customWidth="1"/>
    <col min="30" max="30" width="8.8515625" style="0" customWidth="1"/>
    <col min="31" max="31" width="1.28515625" style="0" customWidth="1"/>
    <col min="32" max="32" width="8.8515625" style="0" customWidth="1"/>
    <col min="33" max="33" width="1.421875" style="0" hidden="1" customWidth="1"/>
    <col min="34" max="34" width="9.140625" style="48" customWidth="1"/>
    <col min="35" max="35" width="8.8515625" style="0" customWidth="1"/>
    <col min="36" max="36" width="9.140625" style="301" customWidth="1"/>
    <col min="37" max="39" width="9.140625" style="14" customWidth="1"/>
  </cols>
  <sheetData>
    <row r="1" ht="18">
      <c r="A1" s="412" t="s">
        <v>710</v>
      </c>
    </row>
    <row r="2" ht="12.75">
      <c r="A2" s="13" t="s">
        <v>276</v>
      </c>
    </row>
    <row r="3" spans="1:40" s="188" customFormat="1" ht="12" customHeight="1">
      <c r="A3" s="1372" t="s">
        <v>494</v>
      </c>
      <c r="B3" s="1392" t="s">
        <v>681</v>
      </c>
      <c r="C3" s="1372"/>
      <c r="D3" s="1403" t="s">
        <v>195</v>
      </c>
      <c r="E3" s="1372"/>
      <c r="F3" s="1392" t="s">
        <v>196</v>
      </c>
      <c r="G3" s="1372"/>
      <c r="H3" s="1392" t="s">
        <v>197</v>
      </c>
      <c r="I3" s="1372"/>
      <c r="J3" s="1392" t="s">
        <v>198</v>
      </c>
      <c r="K3" s="1372"/>
      <c r="L3" s="1353" t="s">
        <v>199</v>
      </c>
      <c r="M3" s="1354"/>
      <c r="N3" s="1354"/>
      <c r="O3" s="1358"/>
      <c r="P3" s="1392" t="s">
        <v>200</v>
      </c>
      <c r="Q3" s="1372"/>
      <c r="R3" s="1392" t="s">
        <v>201</v>
      </c>
      <c r="S3" s="1395"/>
      <c r="T3" s="1395"/>
      <c r="U3" s="1395"/>
      <c r="V3" s="1395"/>
      <c r="W3" s="1395"/>
      <c r="X3" s="1395"/>
      <c r="Y3" s="1372"/>
      <c r="Z3" s="1397" t="s">
        <v>711</v>
      </c>
      <c r="AA3" s="1398"/>
      <c r="AB3" s="1397" t="s">
        <v>712</v>
      </c>
      <c r="AC3" s="1384"/>
      <c r="AD3" s="1383" t="s">
        <v>581</v>
      </c>
      <c r="AE3" s="1398"/>
      <c r="AF3" s="1383" t="s">
        <v>713</v>
      </c>
      <c r="AG3" s="1384"/>
      <c r="AH3" s="1389" t="s">
        <v>714</v>
      </c>
      <c r="AI3" s="1389" t="s">
        <v>715</v>
      </c>
      <c r="AJ3" s="1357" t="s">
        <v>809</v>
      </c>
      <c r="AK3" s="1357"/>
      <c r="AL3" s="1355" t="s">
        <v>1370</v>
      </c>
      <c r="AM3" s="1356"/>
      <c r="AN3" s="584"/>
    </row>
    <row r="4" spans="1:39" s="188" customFormat="1" ht="12" customHeight="1">
      <c r="A4" s="1373"/>
      <c r="B4" s="1393"/>
      <c r="C4" s="1373"/>
      <c r="D4" s="1393"/>
      <c r="E4" s="1373"/>
      <c r="F4" s="1393"/>
      <c r="G4" s="1373"/>
      <c r="H4" s="1393"/>
      <c r="I4" s="1373"/>
      <c r="J4" s="1393"/>
      <c r="K4" s="1373"/>
      <c r="L4" s="1392" t="s">
        <v>203</v>
      </c>
      <c r="M4" s="1372"/>
      <c r="N4" s="1392" t="s">
        <v>204</v>
      </c>
      <c r="O4" s="1372"/>
      <c r="P4" s="1393"/>
      <c r="Q4" s="1373"/>
      <c r="R4" s="1393"/>
      <c r="S4" s="1382"/>
      <c r="T4" s="1382"/>
      <c r="U4" s="1382"/>
      <c r="V4" s="1382"/>
      <c r="W4" s="1382"/>
      <c r="X4" s="1382"/>
      <c r="Y4" s="1373"/>
      <c r="Z4" s="1385"/>
      <c r="AA4" s="1399"/>
      <c r="AB4" s="1385"/>
      <c r="AC4" s="1386"/>
      <c r="AD4" s="1385"/>
      <c r="AE4" s="1399"/>
      <c r="AF4" s="1385"/>
      <c r="AG4" s="1386"/>
      <c r="AH4" s="1390"/>
      <c r="AI4" s="1390"/>
      <c r="AJ4" s="1402" t="s">
        <v>811</v>
      </c>
      <c r="AK4" s="1401" t="s">
        <v>810</v>
      </c>
      <c r="AL4" s="1376" t="s">
        <v>927</v>
      </c>
      <c r="AM4" s="1377"/>
    </row>
    <row r="5" spans="1:39" s="188" customFormat="1" ht="12" customHeight="1">
      <c r="A5" s="1373"/>
      <c r="B5" s="1393"/>
      <c r="C5" s="1373"/>
      <c r="D5" s="1393"/>
      <c r="E5" s="1373"/>
      <c r="F5" s="1393"/>
      <c r="G5" s="1373"/>
      <c r="H5" s="1393"/>
      <c r="I5" s="1373"/>
      <c r="J5" s="1393"/>
      <c r="K5" s="1373"/>
      <c r="L5" s="1393"/>
      <c r="M5" s="1373"/>
      <c r="N5" s="1393"/>
      <c r="O5" s="1373"/>
      <c r="P5" s="1393"/>
      <c r="Q5" s="1373"/>
      <c r="R5" s="1393"/>
      <c r="S5" s="1382"/>
      <c r="T5" s="1382"/>
      <c r="U5" s="1382"/>
      <c r="V5" s="1382"/>
      <c r="W5" s="1382"/>
      <c r="X5" s="1382"/>
      <c r="Y5" s="1373"/>
      <c r="Z5" s="1385"/>
      <c r="AA5" s="1399"/>
      <c r="AB5" s="1385"/>
      <c r="AC5" s="1386"/>
      <c r="AD5" s="1385"/>
      <c r="AE5" s="1399"/>
      <c r="AF5" s="1385"/>
      <c r="AG5" s="1386"/>
      <c r="AH5" s="1390"/>
      <c r="AI5" s="1390"/>
      <c r="AJ5" s="1402"/>
      <c r="AK5" s="1401"/>
      <c r="AL5" s="1378"/>
      <c r="AM5" s="1379"/>
    </row>
    <row r="6" spans="1:39" s="188" customFormat="1" ht="12" customHeight="1">
      <c r="A6" s="1374"/>
      <c r="B6" s="1394"/>
      <c r="C6" s="1374"/>
      <c r="D6" s="1394"/>
      <c r="E6" s="1374"/>
      <c r="F6" s="1394"/>
      <c r="G6" s="1374"/>
      <c r="H6" s="1394"/>
      <c r="I6" s="1374"/>
      <c r="J6" s="1394"/>
      <c r="K6" s="1374"/>
      <c r="L6" s="1394"/>
      <c r="M6" s="1374"/>
      <c r="N6" s="1394"/>
      <c r="O6" s="1374"/>
      <c r="P6" s="1394"/>
      <c r="Q6" s="1374"/>
      <c r="R6" s="1394"/>
      <c r="S6" s="1396"/>
      <c r="T6" s="1396"/>
      <c r="U6" s="1396"/>
      <c r="V6" s="1396"/>
      <c r="W6" s="1396"/>
      <c r="X6" s="1396"/>
      <c r="Y6" s="1374"/>
      <c r="Z6" s="1387"/>
      <c r="AA6" s="1400"/>
      <c r="AB6" s="1387"/>
      <c r="AC6" s="1388"/>
      <c r="AD6" s="1387"/>
      <c r="AE6" s="1400"/>
      <c r="AF6" s="1387"/>
      <c r="AG6" s="1388"/>
      <c r="AH6" s="1391"/>
      <c r="AI6" s="1391"/>
      <c r="AJ6" s="1402"/>
      <c r="AK6" s="1401"/>
      <c r="AL6" s="1380"/>
      <c r="AM6" s="1381"/>
    </row>
    <row r="7" spans="1:39" s="188" customFormat="1" ht="12" customHeight="1">
      <c r="A7" s="479"/>
      <c r="B7" s="1382" t="s">
        <v>582</v>
      </c>
      <c r="C7" s="1382"/>
      <c r="D7" s="1382" t="s">
        <v>583</v>
      </c>
      <c r="E7" s="1382"/>
      <c r="F7" s="1382" t="s">
        <v>582</v>
      </c>
      <c r="G7" s="1382"/>
      <c r="H7" s="1382" t="s">
        <v>583</v>
      </c>
      <c r="I7" s="1382"/>
      <c r="J7" s="1382" t="s">
        <v>582</v>
      </c>
      <c r="K7" s="1382"/>
      <c r="L7" s="1382" t="s">
        <v>583</v>
      </c>
      <c r="M7" s="1382"/>
      <c r="N7" s="1382" t="s">
        <v>583</v>
      </c>
      <c r="O7" s="1382"/>
      <c r="P7" s="1382" t="s">
        <v>583</v>
      </c>
      <c r="Q7" s="1382"/>
      <c r="R7" s="1382" t="s">
        <v>582</v>
      </c>
      <c r="S7" s="1382"/>
      <c r="T7" s="1382" t="s">
        <v>690</v>
      </c>
      <c r="U7" s="1382"/>
      <c r="V7" s="1382" t="s">
        <v>137</v>
      </c>
      <c r="W7" s="1382"/>
      <c r="X7" s="1382" t="s">
        <v>584</v>
      </c>
      <c r="Y7" s="1382"/>
      <c r="Z7" s="1382" t="s">
        <v>585</v>
      </c>
      <c r="AA7" s="1382"/>
      <c r="AB7" s="1382" t="s">
        <v>205</v>
      </c>
      <c r="AC7" s="1382"/>
      <c r="AD7" s="1382" t="s">
        <v>585</v>
      </c>
      <c r="AE7" s="1382"/>
      <c r="AF7" s="1382" t="s">
        <v>206</v>
      </c>
      <c r="AG7" s="1382"/>
      <c r="AH7" s="481" t="s">
        <v>39</v>
      </c>
      <c r="AJ7" s="585" t="s">
        <v>206</v>
      </c>
      <c r="AK7" s="586" t="s">
        <v>585</v>
      </c>
      <c r="AL7" s="586" t="s">
        <v>39</v>
      </c>
      <c r="AM7" s="586" t="s">
        <v>50</v>
      </c>
    </row>
    <row r="8" spans="2:39" s="13" customFormat="1" ht="12.75">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293"/>
      <c r="AJ8" s="382"/>
      <c r="AK8" s="15"/>
      <c r="AL8" s="15"/>
      <c r="AM8" s="15"/>
    </row>
    <row r="9" spans="1:39" s="13" customFormat="1" ht="12.75">
      <c r="A9" s="482" t="s">
        <v>716</v>
      </c>
      <c r="B9" s="483">
        <v>189.86657355337053</v>
      </c>
      <c r="C9" s="483"/>
      <c r="D9" s="483"/>
      <c r="E9" s="483"/>
      <c r="F9" s="483">
        <v>189.86657355337053</v>
      </c>
      <c r="G9" s="483"/>
      <c r="H9" s="483"/>
      <c r="I9" s="483"/>
      <c r="J9" s="483">
        <v>167.06541171789723</v>
      </c>
      <c r="K9" s="483"/>
      <c r="L9" s="483"/>
      <c r="M9" s="483"/>
      <c r="N9" s="483"/>
      <c r="O9" s="483"/>
      <c r="P9" s="484">
        <f>(1/100)*31.3451806376894</f>
        <v>0.313451806376894</v>
      </c>
      <c r="Q9" s="484"/>
      <c r="R9" s="483">
        <v>130.35335522904876</v>
      </c>
      <c r="S9" s="483"/>
      <c r="T9" s="483">
        <v>15.1060288093401</v>
      </c>
      <c r="U9" s="483"/>
      <c r="V9" s="483">
        <v>5.714119681273371</v>
      </c>
      <c r="W9" s="483"/>
      <c r="X9" s="483">
        <v>161.99243590425942</v>
      </c>
      <c r="Y9" s="483"/>
      <c r="Z9" s="483"/>
      <c r="AA9" s="483"/>
      <c r="AB9" s="483"/>
      <c r="AC9" s="483"/>
      <c r="AD9" s="483">
        <v>82.33367747231327</v>
      </c>
      <c r="AE9" s="483"/>
      <c r="AF9" s="483">
        <v>0.6658155467075915</v>
      </c>
      <c r="AG9" s="483"/>
      <c r="AH9" s="485">
        <f>AF9/$AF$44</f>
        <v>0.4359562142168511</v>
      </c>
      <c r="AI9" s="293">
        <f>AF9/($AF$9+$AF$21+$AF$23)</f>
        <v>0.48169106305664583</v>
      </c>
      <c r="AJ9" s="382">
        <f>AH9*3</f>
        <v>1.3078686426505532</v>
      </c>
      <c r="AK9" s="15">
        <f>AJ9*Z13</f>
        <v>133.40260155035642</v>
      </c>
      <c r="AL9" s="15"/>
      <c r="AM9" s="15"/>
    </row>
    <row r="10" spans="1:40" s="13" customFormat="1" ht="12.75">
      <c r="A10" s="38" t="s">
        <v>717</v>
      </c>
      <c r="B10" s="486">
        <v>161.43423886949867</v>
      </c>
      <c r="C10" s="486"/>
      <c r="D10" s="486"/>
      <c r="E10" s="486"/>
      <c r="F10" s="486">
        <v>161.43423886949867</v>
      </c>
      <c r="G10" s="486"/>
      <c r="H10" s="486"/>
      <c r="I10" s="486"/>
      <c r="J10" s="486">
        <v>142.06213020515884</v>
      </c>
      <c r="K10" s="486"/>
      <c r="L10" s="486"/>
      <c r="M10" s="486"/>
      <c r="N10" s="486"/>
      <c r="O10" s="486"/>
      <c r="P10" s="281">
        <f>(1/100)*29.6</f>
        <v>0.29600000000000004</v>
      </c>
      <c r="Q10" s="281"/>
      <c r="R10" s="486">
        <v>113.64970416412707</v>
      </c>
      <c r="S10" s="486"/>
      <c r="T10" s="486">
        <v>13.17640317731437</v>
      </c>
      <c r="U10" s="486"/>
      <c r="V10" s="486">
        <v>4.981904840071323</v>
      </c>
      <c r="W10" s="486"/>
      <c r="X10" s="486">
        <v>141.23451126360197</v>
      </c>
      <c r="Y10" s="486"/>
      <c r="Z10" s="486"/>
      <c r="AA10" s="486"/>
      <c r="AB10" s="486"/>
      <c r="AC10" s="486"/>
      <c r="AD10" s="486">
        <v>69.57275745236437</v>
      </c>
      <c r="AE10" s="486"/>
      <c r="AF10" s="486">
        <v>0.5784345626857592</v>
      </c>
      <c r="AG10" s="486"/>
      <c r="AH10" s="465">
        <f>AF10/$AF$44</f>
        <v>0.3787417451689675</v>
      </c>
      <c r="AJ10" s="382"/>
      <c r="AK10" s="15"/>
      <c r="AL10" s="293">
        <f>(AF10+AF15)/(AF9+AF21+AF23)</f>
        <v>0.4439711949650759</v>
      </c>
      <c r="AM10" s="372">
        <f>AL10*$AF$44</f>
        <v>0.6780564521350243</v>
      </c>
      <c r="AN10" s="13" t="s">
        <v>922</v>
      </c>
    </row>
    <row r="11" spans="1:42" s="13" customFormat="1" ht="12.75">
      <c r="A11" s="487" t="s">
        <v>718</v>
      </c>
      <c r="B11" s="372">
        <v>50.878512511195126</v>
      </c>
      <c r="C11" s="372"/>
      <c r="D11" s="372">
        <v>0</v>
      </c>
      <c r="E11" s="372"/>
      <c r="F11" s="372">
        <v>50.878512511195126</v>
      </c>
      <c r="G11" s="372"/>
      <c r="H11" s="372">
        <v>12</v>
      </c>
      <c r="I11" s="372"/>
      <c r="J11" s="372">
        <v>44.77309100985171</v>
      </c>
      <c r="K11" s="372"/>
      <c r="L11" s="372">
        <v>0</v>
      </c>
      <c r="M11" s="372"/>
      <c r="N11" s="372">
        <v>20</v>
      </c>
      <c r="O11" s="372"/>
      <c r="P11" s="293">
        <f>(1/100)*29.6</f>
        <v>0.29600000000000004</v>
      </c>
      <c r="Q11" s="293"/>
      <c r="R11" s="372">
        <v>35.81847280788138</v>
      </c>
      <c r="S11" s="372"/>
      <c r="T11" s="372">
        <v>4.164938698590857</v>
      </c>
      <c r="U11" s="372"/>
      <c r="V11" s="372">
        <v>1.570124835413978</v>
      </c>
      <c r="W11" s="372"/>
      <c r="X11" s="372">
        <v>44.51225402156856</v>
      </c>
      <c r="Y11" s="372"/>
      <c r="Z11" s="372">
        <v>146</v>
      </c>
      <c r="AA11" s="372"/>
      <c r="AB11" s="372">
        <v>244</v>
      </c>
      <c r="AC11" s="372"/>
      <c r="AD11" s="372">
        <v>26.634381504709058</v>
      </c>
      <c r="AE11" s="372"/>
      <c r="AF11" s="372">
        <v>0.18242727058019903</v>
      </c>
      <c r="AG11" s="372"/>
      <c r="AH11" s="392"/>
      <c r="AJ11" s="382"/>
      <c r="AK11" s="15"/>
      <c r="AL11" s="15"/>
      <c r="AM11" s="15"/>
      <c r="AN11" s="293">
        <f>(AF11+AF16)/($AF$10+$AF$15)</f>
        <v>0.3052880575865649</v>
      </c>
      <c r="AO11" s="13">
        <v>3.5</v>
      </c>
      <c r="AP11" s="13">
        <f>AO11*AN11</f>
        <v>1.0685082015529772</v>
      </c>
    </row>
    <row r="12" spans="1:42" s="13" customFormat="1" ht="12.75">
      <c r="A12" s="488">
        <v>0.02</v>
      </c>
      <c r="B12" s="372">
        <v>61.06061649541151</v>
      </c>
      <c r="C12" s="372"/>
      <c r="D12" s="372">
        <v>0</v>
      </c>
      <c r="E12" s="372"/>
      <c r="F12" s="372">
        <v>61.06061649541151</v>
      </c>
      <c r="G12" s="372"/>
      <c r="H12" s="372">
        <v>12</v>
      </c>
      <c r="I12" s="372"/>
      <c r="J12" s="372">
        <v>53.733342515962136</v>
      </c>
      <c r="K12" s="372"/>
      <c r="L12" s="372">
        <v>0</v>
      </c>
      <c r="M12" s="372"/>
      <c r="N12" s="372">
        <v>20</v>
      </c>
      <c r="O12" s="372"/>
      <c r="P12" s="293">
        <f>(1/100)*29.6</f>
        <v>0.29600000000000004</v>
      </c>
      <c r="Q12" s="293"/>
      <c r="R12" s="372">
        <v>42.9866740127697</v>
      </c>
      <c r="S12" s="372"/>
      <c r="T12" s="372">
        <v>4.981074624886408</v>
      </c>
      <c r="U12" s="372"/>
      <c r="V12" s="372">
        <v>1.8843473539844253</v>
      </c>
      <c r="W12" s="372"/>
      <c r="X12" s="372">
        <v>53.42030531178146</v>
      </c>
      <c r="Y12" s="372"/>
      <c r="Z12" s="372">
        <v>122</v>
      </c>
      <c r="AA12" s="372"/>
      <c r="AB12" s="372">
        <v>244</v>
      </c>
      <c r="AC12" s="372"/>
      <c r="AD12" s="372">
        <v>26.71015265589073</v>
      </c>
      <c r="AE12" s="372"/>
      <c r="AF12" s="372">
        <v>0.21893567750730103</v>
      </c>
      <c r="AG12" s="372"/>
      <c r="AH12" s="382"/>
      <c r="AJ12" s="382"/>
      <c r="AK12" s="15"/>
      <c r="AL12" s="15"/>
      <c r="AM12" s="15"/>
      <c r="AN12" s="293">
        <f>AF12/($AF$10+$AF$15)</f>
        <v>0.3567602033458728</v>
      </c>
      <c r="AO12" s="13">
        <v>2</v>
      </c>
      <c r="AP12" s="13">
        <f>AO12*AN12</f>
        <v>0.7135204066917455</v>
      </c>
    </row>
    <row r="13" spans="1:42" s="13" customFormat="1" ht="12.75">
      <c r="A13" s="488">
        <v>0.01</v>
      </c>
      <c r="B13" s="372">
        <v>22.477367718386922</v>
      </c>
      <c r="C13" s="372"/>
      <c r="D13" s="372">
        <v>0</v>
      </c>
      <c r="E13" s="372"/>
      <c r="F13" s="372">
        <v>22.477367718386922</v>
      </c>
      <c r="G13" s="372"/>
      <c r="H13" s="372">
        <v>12</v>
      </c>
      <c r="I13" s="372"/>
      <c r="J13" s="372">
        <v>19.780083592180493</v>
      </c>
      <c r="K13" s="372"/>
      <c r="L13" s="372">
        <v>0</v>
      </c>
      <c r="M13" s="372"/>
      <c r="N13" s="372">
        <v>20</v>
      </c>
      <c r="O13" s="372"/>
      <c r="P13" s="293">
        <f>(1/100)*29.6</f>
        <v>0.29600000000000004</v>
      </c>
      <c r="Q13" s="293"/>
      <c r="R13" s="372">
        <v>15.824066873744394</v>
      </c>
      <c r="S13" s="372"/>
      <c r="T13" s="372">
        <v>1.8314892214981935</v>
      </c>
      <c r="U13" s="372"/>
      <c r="V13" s="372">
        <v>0.6936577259723571</v>
      </c>
      <c r="W13" s="372"/>
      <c r="X13" s="372">
        <v>19.664849702453335</v>
      </c>
      <c r="Y13" s="372"/>
      <c r="Z13" s="372">
        <v>102</v>
      </c>
      <c r="AA13" s="372"/>
      <c r="AB13" s="372">
        <v>244</v>
      </c>
      <c r="AC13" s="372"/>
      <c r="AD13" s="372">
        <v>8.220551924796066</v>
      </c>
      <c r="AE13" s="372"/>
      <c r="AF13" s="372">
        <v>0.08059364632153006</v>
      </c>
      <c r="AG13" s="372"/>
      <c r="AH13" s="392"/>
      <c r="AI13" s="583"/>
      <c r="AJ13" s="382"/>
      <c r="AK13" s="15"/>
      <c r="AL13" s="15"/>
      <c r="AM13" s="15"/>
      <c r="AN13" s="293">
        <f>(AF17+AF13)/($AF$10+$AF$15)</f>
        <v>0.18073889932994244</v>
      </c>
      <c r="AO13" s="13">
        <v>1</v>
      </c>
      <c r="AP13" s="13">
        <f>AO13*AN13</f>
        <v>0.18073889932994244</v>
      </c>
    </row>
    <row r="14" spans="1:42" s="13" customFormat="1" ht="12.75">
      <c r="A14" s="487" t="s">
        <v>719</v>
      </c>
      <c r="B14" s="372">
        <v>27.017742144505103</v>
      </c>
      <c r="C14" s="372"/>
      <c r="D14" s="372">
        <v>0</v>
      </c>
      <c r="E14" s="372"/>
      <c r="F14" s="372">
        <v>27.017742144505103</v>
      </c>
      <c r="G14" s="372"/>
      <c r="H14" s="372">
        <v>12</v>
      </c>
      <c r="I14" s="372"/>
      <c r="J14" s="372">
        <v>23.775613087164494</v>
      </c>
      <c r="K14" s="372"/>
      <c r="L14" s="372">
        <v>0</v>
      </c>
      <c r="M14" s="372"/>
      <c r="N14" s="372">
        <v>20</v>
      </c>
      <c r="O14" s="372"/>
      <c r="P14" s="293">
        <f>(1/100)*29.6</f>
        <v>0.29600000000000004</v>
      </c>
      <c r="Q14" s="293"/>
      <c r="R14" s="372">
        <v>19.020490469731595</v>
      </c>
      <c r="S14" s="372"/>
      <c r="T14" s="372">
        <v>2.198900632338913</v>
      </c>
      <c r="U14" s="372"/>
      <c r="V14" s="372">
        <v>0.833774924700563</v>
      </c>
      <c r="W14" s="372"/>
      <c r="X14" s="372">
        <v>23.63710222779861</v>
      </c>
      <c r="Y14" s="372"/>
      <c r="Z14" s="372">
        <v>83</v>
      </c>
      <c r="AA14" s="372"/>
      <c r="AB14" s="372">
        <v>245</v>
      </c>
      <c r="AC14" s="372"/>
      <c r="AD14" s="372">
        <v>8.007671366968511</v>
      </c>
      <c r="AE14" s="372"/>
      <c r="AF14" s="372">
        <v>0.09647796827672903</v>
      </c>
      <c r="AG14" s="372"/>
      <c r="AH14" s="392"/>
      <c r="AJ14" s="382"/>
      <c r="AK14" s="15"/>
      <c r="AL14" s="15"/>
      <c r="AM14" s="15"/>
      <c r="AN14" s="293">
        <f>AF14/($AF$10+$AF$15)</f>
        <v>0.1572128397376197</v>
      </c>
      <c r="AO14" s="13">
        <v>0</v>
      </c>
      <c r="AP14" s="13">
        <f>AO14*AN14</f>
        <v>0</v>
      </c>
    </row>
    <row r="15" spans="1:42" s="13" customFormat="1" ht="12.75">
      <c r="A15" s="71" t="s">
        <v>720</v>
      </c>
      <c r="B15" s="372">
        <v>14.648498502894668</v>
      </c>
      <c r="C15" s="372"/>
      <c r="D15" s="372"/>
      <c r="E15" s="372"/>
      <c r="F15" s="372">
        <v>14.648498502894668</v>
      </c>
      <c r="G15" s="372"/>
      <c r="H15" s="372"/>
      <c r="I15" s="372"/>
      <c r="J15" s="372">
        <v>12.890678682547309</v>
      </c>
      <c r="K15" s="372"/>
      <c r="L15" s="372"/>
      <c r="M15" s="372"/>
      <c r="N15" s="372"/>
      <c r="O15" s="372"/>
      <c r="P15" s="293">
        <f>(1/100)*51.6</f>
        <v>0.516</v>
      </c>
      <c r="Q15" s="293"/>
      <c r="R15" s="372">
        <v>7.08987327540102</v>
      </c>
      <c r="S15" s="372"/>
      <c r="T15" s="372">
        <v>0.8194896286168734</v>
      </c>
      <c r="U15" s="372"/>
      <c r="V15" s="372">
        <v>0.31078896549703094</v>
      </c>
      <c r="W15" s="372"/>
      <c r="X15" s="372">
        <v>8.81071177735808</v>
      </c>
      <c r="Y15" s="372"/>
      <c r="Z15" s="372"/>
      <c r="AA15" s="372"/>
      <c r="AB15" s="372"/>
      <c r="AC15" s="372">
        <v>5.814425535336777</v>
      </c>
      <c r="AD15" s="372">
        <v>5.814425535336777</v>
      </c>
      <c r="AE15" s="372"/>
      <c r="AF15" s="372">
        <v>0.03524284710943232</v>
      </c>
      <c r="AG15" s="372"/>
      <c r="AH15" s="392">
        <f>AF15/$AF$44</f>
        <v>0.0230759679313992</v>
      </c>
      <c r="AJ15" s="382"/>
      <c r="AK15" s="15"/>
      <c r="AL15" s="15"/>
      <c r="AM15" s="15"/>
      <c r="AN15" s="293"/>
      <c r="AP15" s="13">
        <f>SUM(AP11:AP14)/SUM(AN11:AN14)</f>
        <v>1.9627675075746656</v>
      </c>
    </row>
    <row r="16" spans="1:40" s="13" customFormat="1" ht="12.75">
      <c r="A16" s="487" t="s">
        <v>718</v>
      </c>
      <c r="B16" s="372">
        <v>2.0454343120347853</v>
      </c>
      <c r="C16" s="372"/>
      <c r="D16" s="372">
        <v>0</v>
      </c>
      <c r="E16" s="372"/>
      <c r="F16" s="372">
        <v>2.0454343120347853</v>
      </c>
      <c r="G16" s="372"/>
      <c r="H16" s="372">
        <v>12</v>
      </c>
      <c r="I16" s="372"/>
      <c r="J16" s="372">
        <v>1.799982194590611</v>
      </c>
      <c r="K16" s="372"/>
      <c r="L16" s="372">
        <v>0</v>
      </c>
      <c r="M16" s="372"/>
      <c r="N16" s="372">
        <v>45</v>
      </c>
      <c r="O16" s="372"/>
      <c r="P16" s="293">
        <f>(1/100)*51.6</f>
        <v>0.516</v>
      </c>
      <c r="Q16" s="293"/>
      <c r="R16" s="372">
        <v>0.9899902070248361</v>
      </c>
      <c r="S16" s="372"/>
      <c r="T16" s="372">
        <v>0.11511514035172513</v>
      </c>
      <c r="U16" s="372"/>
      <c r="V16" s="372">
        <v>0.04339683099286953</v>
      </c>
      <c r="W16" s="372"/>
      <c r="X16" s="372">
        <v>1.2302784602323544</v>
      </c>
      <c r="Y16" s="372"/>
      <c r="Z16" s="372">
        <v>208</v>
      </c>
      <c r="AA16" s="372"/>
      <c r="AB16" s="372">
        <v>250</v>
      </c>
      <c r="AC16" s="372"/>
      <c r="AD16" s="372">
        <v>1.023591678913319</v>
      </c>
      <c r="AE16" s="372"/>
      <c r="AF16" s="372">
        <v>0.0049211138409294185</v>
      </c>
      <c r="AG16" s="372"/>
      <c r="AH16" s="392"/>
      <c r="AJ16" s="382"/>
      <c r="AK16" s="15"/>
      <c r="AL16" s="15"/>
      <c r="AM16" s="15"/>
      <c r="AN16" s="293">
        <f>AF16/($AF$10+$AF$15)</f>
        <v>0.00801905653097413</v>
      </c>
    </row>
    <row r="17" spans="1:40" s="13" customFormat="1" ht="12.75">
      <c r="A17" s="488" t="s">
        <v>721</v>
      </c>
      <c r="B17" s="372">
        <v>12.603064190859884</v>
      </c>
      <c r="C17" s="372"/>
      <c r="D17" s="372">
        <v>0</v>
      </c>
      <c r="E17" s="372"/>
      <c r="F17" s="372">
        <v>12.603064190859884</v>
      </c>
      <c r="G17" s="372"/>
      <c r="H17" s="372">
        <v>12</v>
      </c>
      <c r="I17" s="372"/>
      <c r="J17" s="372">
        <v>11.090696487956697</v>
      </c>
      <c r="K17" s="372"/>
      <c r="L17" s="372">
        <v>0</v>
      </c>
      <c r="M17" s="372"/>
      <c r="N17" s="372">
        <v>45</v>
      </c>
      <c r="O17" s="372"/>
      <c r="P17" s="293">
        <f>(1/100)*51.6</f>
        <v>0.516</v>
      </c>
      <c r="Q17" s="293"/>
      <c r="R17" s="372">
        <v>6.099883068376184</v>
      </c>
      <c r="S17" s="372"/>
      <c r="T17" s="372">
        <v>0.7043744882651481</v>
      </c>
      <c r="U17" s="372"/>
      <c r="V17" s="372">
        <v>0.26739213450416144</v>
      </c>
      <c r="W17" s="372"/>
      <c r="X17" s="372">
        <v>7.580433317125726</v>
      </c>
      <c r="Y17" s="372"/>
      <c r="Z17" s="372">
        <v>158</v>
      </c>
      <c r="AA17" s="372"/>
      <c r="AB17" s="372">
        <v>250</v>
      </c>
      <c r="AC17" s="372"/>
      <c r="AD17" s="372">
        <v>4.7908338564234585</v>
      </c>
      <c r="AE17" s="372"/>
      <c r="AF17" s="372">
        <v>0.030321733268502904</v>
      </c>
      <c r="AG17" s="372"/>
      <c r="AH17" s="392"/>
      <c r="AJ17" s="382"/>
      <c r="AK17" s="15"/>
      <c r="AL17" s="15"/>
      <c r="AM17" s="15"/>
      <c r="AN17" s="293">
        <f>AF17/($AF$10+$AF$15)</f>
        <v>0.049409889926732786</v>
      </c>
    </row>
    <row r="18" spans="1:39" s="13" customFormat="1" ht="12.75">
      <c r="A18" s="13" t="s">
        <v>722</v>
      </c>
      <c r="B18" s="372">
        <v>1.7173009068866947</v>
      </c>
      <c r="C18" s="372"/>
      <c r="D18" s="372">
        <v>0</v>
      </c>
      <c r="E18" s="372"/>
      <c r="F18" s="372">
        <v>1.7173009068866947</v>
      </c>
      <c r="G18" s="372"/>
      <c r="H18" s="372">
        <v>13</v>
      </c>
      <c r="I18" s="372"/>
      <c r="J18" s="372">
        <v>1.4940517889914244</v>
      </c>
      <c r="K18" s="372"/>
      <c r="L18" s="372">
        <v>0</v>
      </c>
      <c r="M18" s="372"/>
      <c r="N18" s="372">
        <v>18</v>
      </c>
      <c r="O18" s="372"/>
      <c r="P18" s="293">
        <f>(1/100)*28.66</f>
        <v>0.2866</v>
      </c>
      <c r="Q18" s="293"/>
      <c r="R18" s="372">
        <v>1.225122466972968</v>
      </c>
      <c r="S18" s="372"/>
      <c r="T18" s="372">
        <v>0.14146910704075838</v>
      </c>
      <c r="U18" s="372"/>
      <c r="V18" s="372">
        <v>0.05370399855223969</v>
      </c>
      <c r="W18" s="372"/>
      <c r="X18" s="372">
        <v>1.5224815069567188</v>
      </c>
      <c r="Y18" s="372"/>
      <c r="Z18" s="372">
        <v>98</v>
      </c>
      <c r="AA18" s="372"/>
      <c r="AB18" s="372">
        <v>245</v>
      </c>
      <c r="AC18" s="372"/>
      <c r="AD18" s="372">
        <v>0.6089926027826875</v>
      </c>
      <c r="AE18" s="372"/>
      <c r="AF18" s="372">
        <v>0.006214210232476403</v>
      </c>
      <c r="AG18" s="372"/>
      <c r="AH18" s="392">
        <f>AF18/$AF$44</f>
        <v>0.004068880008426427</v>
      </c>
      <c r="AJ18" s="382"/>
      <c r="AK18" s="15"/>
      <c r="AL18" s="293">
        <f>(AF18)/(AF9+AF21+AF23)</f>
        <v>0.004495733912704258</v>
      </c>
      <c r="AM18" s="372">
        <f>AL18*$AF$44</f>
        <v>0.006866124246711892</v>
      </c>
    </row>
    <row r="19" spans="1:39" s="13" customFormat="1" ht="12.75">
      <c r="A19" s="13" t="s">
        <v>311</v>
      </c>
      <c r="B19" s="372">
        <v>12.066535274090509</v>
      </c>
      <c r="C19" s="372"/>
      <c r="D19" s="372">
        <v>0</v>
      </c>
      <c r="E19" s="372"/>
      <c r="F19" s="372">
        <v>12.066535274090509</v>
      </c>
      <c r="G19" s="372"/>
      <c r="H19" s="372">
        <v>12</v>
      </c>
      <c r="I19" s="372"/>
      <c r="J19" s="372">
        <v>10.618551041199646</v>
      </c>
      <c r="K19" s="372"/>
      <c r="L19" s="372">
        <v>0</v>
      </c>
      <c r="M19" s="372"/>
      <c r="N19" s="372">
        <v>21</v>
      </c>
      <c r="O19" s="372"/>
      <c r="P19" s="293">
        <f>(1/100)*30.48</f>
        <v>0.3048</v>
      </c>
      <c r="Q19" s="293"/>
      <c r="R19" s="372">
        <v>8.38865532254772</v>
      </c>
      <c r="S19" s="372"/>
      <c r="T19" s="372">
        <v>0.9686668963680971</v>
      </c>
      <c r="U19" s="372"/>
      <c r="V19" s="372">
        <v>0.3677218771527768</v>
      </c>
      <c r="W19" s="372"/>
      <c r="X19" s="372">
        <v>10.424731356342647</v>
      </c>
      <c r="Y19" s="372"/>
      <c r="Z19" s="372">
        <v>138</v>
      </c>
      <c r="AA19" s="372"/>
      <c r="AB19" s="372">
        <v>227</v>
      </c>
      <c r="AC19" s="372"/>
      <c r="AD19" s="372">
        <v>6.33750188182945</v>
      </c>
      <c r="AE19" s="372"/>
      <c r="AF19" s="372">
        <v>0.045923926679923545</v>
      </c>
      <c r="AG19" s="372"/>
      <c r="AH19" s="392">
        <f>AF19/$AF$44</f>
        <v>0.030069621108057915</v>
      </c>
      <c r="AJ19" s="382"/>
      <c r="AK19" s="15"/>
      <c r="AL19" s="293">
        <f>(AF19)/(AF9+AF21+AF23)</f>
        <v>0.03322413417886569</v>
      </c>
      <c r="AM19" s="372">
        <f>AL19*$AF$44</f>
        <v>0.05074166703169059</v>
      </c>
    </row>
    <row r="20" spans="2:39" s="13" customFormat="1" ht="12.75">
      <c r="B20" s="372"/>
      <c r="C20" s="372"/>
      <c r="D20" s="372"/>
      <c r="E20" s="372"/>
      <c r="F20" s="372"/>
      <c r="G20" s="372"/>
      <c r="H20" s="372"/>
      <c r="I20" s="372"/>
      <c r="J20" s="372"/>
      <c r="K20" s="372"/>
      <c r="L20" s="372"/>
      <c r="M20" s="372"/>
      <c r="N20" s="372"/>
      <c r="O20" s="372"/>
      <c r="P20" s="293"/>
      <c r="Q20" s="293"/>
      <c r="R20" s="372"/>
      <c r="S20" s="372"/>
      <c r="T20" s="372"/>
      <c r="U20" s="372"/>
      <c r="V20" s="372"/>
      <c r="W20" s="372"/>
      <c r="X20" s="372"/>
      <c r="Y20" s="372"/>
      <c r="Z20" s="372"/>
      <c r="AA20" s="372"/>
      <c r="AB20" s="372" t="s">
        <v>904</v>
      </c>
      <c r="AC20" s="372"/>
      <c r="AD20" s="372"/>
      <c r="AE20" s="372"/>
      <c r="AF20" s="372"/>
      <c r="AG20" s="372"/>
      <c r="AH20" s="392"/>
      <c r="AK20" s="15"/>
      <c r="AL20" s="15"/>
      <c r="AM20" s="15"/>
    </row>
    <row r="21" spans="1:39" s="13" customFormat="1" ht="12.75">
      <c r="A21" s="482" t="s">
        <v>723</v>
      </c>
      <c r="B21" s="483">
        <v>30.562992156755325</v>
      </c>
      <c r="C21" s="483"/>
      <c r="D21" s="483"/>
      <c r="E21" s="483"/>
      <c r="F21" s="483">
        <v>30.562992156755325</v>
      </c>
      <c r="G21" s="483"/>
      <c r="H21" s="483"/>
      <c r="I21" s="483"/>
      <c r="J21" s="483">
        <v>28.729212627350012</v>
      </c>
      <c r="K21" s="483"/>
      <c r="L21" s="483"/>
      <c r="M21" s="483"/>
      <c r="N21" s="483"/>
      <c r="O21" s="483"/>
      <c r="P21" s="484">
        <f>(1/100)*27.876474143606</f>
        <v>0.27876474143606</v>
      </c>
      <c r="Q21" s="484"/>
      <c r="R21" s="483">
        <v>22.043238561755317</v>
      </c>
      <c r="S21" s="483"/>
      <c r="T21" s="483"/>
      <c r="U21" s="483"/>
      <c r="V21" s="483">
        <v>0.9662789506522879</v>
      </c>
      <c r="W21" s="483"/>
      <c r="X21" s="483">
        <v>27.39352511151704</v>
      </c>
      <c r="Y21" s="483"/>
      <c r="Z21" s="285">
        <f>AD21/AF21</f>
        <v>154.82556204680893</v>
      </c>
      <c r="AA21" s="483"/>
      <c r="AB21" s="483">
        <f>X21/AF21</f>
        <v>43.388326951282735</v>
      </c>
      <c r="AC21" s="483"/>
      <c r="AD21" s="483">
        <v>97.75020656122838</v>
      </c>
      <c r="AE21" s="483"/>
      <c r="AF21" s="483">
        <v>0.6313570270242277</v>
      </c>
      <c r="AG21" s="483"/>
      <c r="AH21" s="485">
        <f>AF21/$AF$44</f>
        <v>0.4133938005529455</v>
      </c>
      <c r="AI21" s="293">
        <f>AF21/($AF$9+$AF$21+$AF$23)</f>
        <v>0.45676169476580986</v>
      </c>
      <c r="AJ21" s="382">
        <f>AH21*3</f>
        <v>1.2401814016588366</v>
      </c>
      <c r="AK21" s="15">
        <f>AJ21*(V21/AF21)*49</f>
        <v>93.00553486197678</v>
      </c>
      <c r="AL21" s="293">
        <f>AF21/(AF9+AF21+AF23)</f>
        <v>0.45676169476580986</v>
      </c>
      <c r="AM21" s="372">
        <f>AL21*$AF$44</f>
        <v>0.6975907845743206</v>
      </c>
    </row>
    <row r="22" spans="2:39" s="13" customFormat="1" ht="12.75">
      <c r="B22" s="372"/>
      <c r="C22" s="372"/>
      <c r="D22" s="372"/>
      <c r="E22" s="372"/>
      <c r="F22" s="372"/>
      <c r="G22" s="372"/>
      <c r="H22" s="372"/>
      <c r="I22" s="372"/>
      <c r="J22" s="372"/>
      <c r="K22" s="372"/>
      <c r="L22" s="372"/>
      <c r="M22" s="372"/>
      <c r="N22" s="372"/>
      <c r="O22" s="372"/>
      <c r="P22" s="293"/>
      <c r="Q22" s="293"/>
      <c r="R22" s="372"/>
      <c r="S22" s="372"/>
      <c r="T22" s="372"/>
      <c r="U22" s="372"/>
      <c r="V22" s="372"/>
      <c r="W22" s="372"/>
      <c r="X22" s="372"/>
      <c r="Y22" s="372"/>
      <c r="Z22" s="372"/>
      <c r="AA22" s="372"/>
      <c r="AB22" s="372"/>
      <c r="AC22" s="372"/>
      <c r="AD22" s="372"/>
      <c r="AE22" s="372"/>
      <c r="AF22" s="372"/>
      <c r="AG22" s="372"/>
      <c r="AH22" s="392"/>
      <c r="AJ22" s="382"/>
      <c r="AK22" s="15"/>
      <c r="AL22" s="293"/>
      <c r="AM22" s="15"/>
    </row>
    <row r="23" spans="1:39" s="13" customFormat="1" ht="12.75">
      <c r="A23" s="482" t="s">
        <v>724</v>
      </c>
      <c r="B23" s="483">
        <v>22.41900799911208</v>
      </c>
      <c r="C23" s="483"/>
      <c r="D23" s="483"/>
      <c r="E23" s="483"/>
      <c r="F23" s="483">
        <v>22.41900799911208</v>
      </c>
      <c r="G23" s="483"/>
      <c r="H23" s="483"/>
      <c r="I23" s="483"/>
      <c r="J23" s="483">
        <v>19.728727039218633</v>
      </c>
      <c r="K23" s="483"/>
      <c r="L23" s="483"/>
      <c r="M23" s="483"/>
      <c r="N23" s="483"/>
      <c r="O23" s="483"/>
      <c r="P23" s="484">
        <f>(1/100)*34.0405710339108</f>
        <v>0.340405710339108</v>
      </c>
      <c r="Q23" s="484"/>
      <c r="R23" s="483">
        <v>14.786833062769233</v>
      </c>
      <c r="S23" s="483"/>
      <c r="T23" s="483"/>
      <c r="U23" s="483"/>
      <c r="V23" s="483">
        <v>0.6481899424775553</v>
      </c>
      <c r="W23" s="483"/>
      <c r="X23" s="483">
        <v>18.375860774267455</v>
      </c>
      <c r="Y23" s="483"/>
      <c r="Z23" s="483">
        <f>AD23/AF23</f>
        <v>409.9439365029043</v>
      </c>
      <c r="AA23" s="483"/>
      <c r="AB23" s="483">
        <f>X23/AF23</f>
        <v>215.99999999999997</v>
      </c>
      <c r="AC23" s="483"/>
      <c r="AD23" s="483">
        <v>34.87533658533569</v>
      </c>
      <c r="AE23" s="483"/>
      <c r="AF23" s="483">
        <v>0.08507342951049748</v>
      </c>
      <c r="AG23" s="483"/>
      <c r="AH23" s="485">
        <f>AF23/$AF$44</f>
        <v>0.0557035509958268</v>
      </c>
      <c r="AI23" s="293">
        <f>AF23/($AF$9+$AF$21+$AF$23)</f>
        <v>0.06154724217754425</v>
      </c>
      <c r="AJ23" s="382">
        <f>AH23*3</f>
        <v>0.1671106529874804</v>
      </c>
      <c r="AK23" s="15">
        <f>AJ23*Z25</f>
        <v>62.83360552329263</v>
      </c>
      <c r="AL23" s="293">
        <f>AF23/(AF9+AF221+AF23)</f>
        <v>0.11329694829051355</v>
      </c>
      <c r="AM23" s="372">
        <f>AL23*$AF$44</f>
        <v>0.17303313293024328</v>
      </c>
    </row>
    <row r="24" spans="1:42" s="13" customFormat="1" ht="12.75">
      <c r="A24" s="71" t="s">
        <v>725</v>
      </c>
      <c r="B24" s="372">
        <v>13.892799015021286</v>
      </c>
      <c r="C24" s="372"/>
      <c r="D24" s="372">
        <v>0</v>
      </c>
      <c r="E24" s="372"/>
      <c r="F24" s="372">
        <v>13.892799015021286</v>
      </c>
      <c r="G24" s="372"/>
      <c r="H24" s="372">
        <v>12</v>
      </c>
      <c r="I24" s="372"/>
      <c r="J24" s="372">
        <v>12.225663133218728</v>
      </c>
      <c r="K24" s="372"/>
      <c r="L24" s="372">
        <v>0</v>
      </c>
      <c r="M24" s="372"/>
      <c r="N24" s="372">
        <v>24</v>
      </c>
      <c r="O24" s="372"/>
      <c r="P24" s="293">
        <f>(1/100)*33.12</f>
        <v>0.3312</v>
      </c>
      <c r="Q24" s="293"/>
      <c r="R24" s="372">
        <v>9.291503981246233</v>
      </c>
      <c r="S24" s="372"/>
      <c r="T24" s="372"/>
      <c r="U24" s="372"/>
      <c r="V24" s="372">
        <v>0.40729880465736923</v>
      </c>
      <c r="W24" s="372"/>
      <c r="X24" s="372">
        <v>11.546717462634087</v>
      </c>
      <c r="Y24" s="372"/>
      <c r="Z24" s="372">
        <v>434</v>
      </c>
      <c r="AA24" s="372"/>
      <c r="AB24" s="372">
        <v>216</v>
      </c>
      <c r="AC24" s="372"/>
      <c r="AD24" s="372">
        <v>23.20034897584812</v>
      </c>
      <c r="AE24" s="372"/>
      <c r="AF24" s="372">
        <v>0.05345702528997263</v>
      </c>
      <c r="AG24" s="372"/>
      <c r="AJ24" s="382"/>
      <c r="AK24" s="15"/>
      <c r="AL24" s="15"/>
      <c r="AM24" s="15"/>
      <c r="AN24" s="392">
        <f>AF24/AF23</f>
        <v>0.6283633514900959</v>
      </c>
      <c r="AO24" s="13">
        <v>14.5</v>
      </c>
      <c r="AP24" s="13">
        <f>AO24*AN24</f>
        <v>9.11126859660639</v>
      </c>
    </row>
    <row r="25" spans="1:42" s="13" customFormat="1" ht="12.75">
      <c r="A25" s="71" t="s">
        <v>726</v>
      </c>
      <c r="B25" s="372">
        <v>5.912579097260911</v>
      </c>
      <c r="C25" s="372"/>
      <c r="D25" s="372">
        <v>0</v>
      </c>
      <c r="E25" s="372"/>
      <c r="F25" s="372">
        <v>5.912579097260911</v>
      </c>
      <c r="G25" s="372"/>
      <c r="H25" s="372">
        <v>12</v>
      </c>
      <c r="I25" s="372"/>
      <c r="J25" s="372">
        <v>5.203069605589603</v>
      </c>
      <c r="K25" s="372"/>
      <c r="L25" s="372">
        <v>0</v>
      </c>
      <c r="M25" s="372"/>
      <c r="N25" s="372">
        <v>24</v>
      </c>
      <c r="O25" s="372"/>
      <c r="P25" s="293">
        <f>(1/100)*33.12</f>
        <v>0.3312</v>
      </c>
      <c r="Q25" s="293"/>
      <c r="R25" s="372">
        <v>3.9543329002480974</v>
      </c>
      <c r="S25" s="372"/>
      <c r="T25" s="372"/>
      <c r="U25" s="372"/>
      <c r="V25" s="372">
        <v>0.1733406202848481</v>
      </c>
      <c r="W25" s="372"/>
      <c r="X25" s="372">
        <v>4.9141199147653</v>
      </c>
      <c r="Y25" s="372"/>
      <c r="Z25" s="372">
        <v>376</v>
      </c>
      <c r="AA25" s="372"/>
      <c r="AB25" s="372">
        <v>216</v>
      </c>
      <c r="AC25" s="372"/>
      <c r="AD25" s="372">
        <v>8.554208740517376</v>
      </c>
      <c r="AE25" s="372"/>
      <c r="AF25" s="372">
        <v>0.022750555160950463</v>
      </c>
      <c r="AG25" s="372"/>
      <c r="AJ25" s="382"/>
      <c r="AK25" s="15"/>
      <c r="AL25" s="15"/>
      <c r="AM25" s="15"/>
      <c r="AN25" s="392">
        <f>AF25/AF23</f>
        <v>0.2674225700298493</v>
      </c>
      <c r="AO25" s="13">
        <v>7.5</v>
      </c>
      <c r="AP25" s="13">
        <f>AO25*AN25</f>
        <v>2.00566927522387</v>
      </c>
    </row>
    <row r="26" spans="1:42" s="13" customFormat="1" ht="12.75">
      <c r="A26" s="71" t="s">
        <v>727</v>
      </c>
      <c r="B26" s="372">
        <v>2.6136298868298846</v>
      </c>
      <c r="C26" s="372"/>
      <c r="D26" s="372">
        <v>0</v>
      </c>
      <c r="E26" s="372"/>
      <c r="F26" s="372">
        <v>2.6136298868298846</v>
      </c>
      <c r="G26" s="372"/>
      <c r="H26" s="372">
        <v>12</v>
      </c>
      <c r="I26" s="372"/>
      <c r="J26" s="372">
        <v>2.2999943004102987</v>
      </c>
      <c r="K26" s="372"/>
      <c r="L26" s="372">
        <v>0</v>
      </c>
      <c r="M26" s="372"/>
      <c r="N26" s="372">
        <v>33</v>
      </c>
      <c r="O26" s="372"/>
      <c r="P26" s="293">
        <f>(1/100)*41.04</f>
        <v>0.4104</v>
      </c>
      <c r="Q26" s="293"/>
      <c r="R26" s="372">
        <v>1.5409961812749002</v>
      </c>
      <c r="S26" s="372"/>
      <c r="T26" s="372"/>
      <c r="U26" s="372"/>
      <c r="V26" s="372">
        <v>0.0675505175353381</v>
      </c>
      <c r="W26" s="372"/>
      <c r="X26" s="372">
        <v>1.915023396868067</v>
      </c>
      <c r="Y26" s="372"/>
      <c r="Z26" s="372">
        <v>352</v>
      </c>
      <c r="AA26" s="372"/>
      <c r="AB26" s="372">
        <v>216</v>
      </c>
      <c r="AC26" s="372"/>
      <c r="AD26" s="372">
        <v>3.1207788689701834</v>
      </c>
      <c r="AE26" s="372"/>
      <c r="AF26" s="372">
        <v>0.008865849059574386</v>
      </c>
      <c r="AG26" s="372"/>
      <c r="AJ26" s="382"/>
      <c r="AK26" s="15"/>
      <c r="AL26" s="15"/>
      <c r="AM26" s="15"/>
      <c r="AN26" s="392">
        <f>AF26/AF23</f>
        <v>0.10421407848005469</v>
      </c>
      <c r="AO26" s="13">
        <v>0</v>
      </c>
      <c r="AP26" s="13">
        <f>AO26*AN26</f>
        <v>0</v>
      </c>
    </row>
    <row r="27" spans="2:42" s="13" customFormat="1" ht="12.75">
      <c r="B27" s="372"/>
      <c r="C27" s="372"/>
      <c r="D27" s="372"/>
      <c r="E27" s="372"/>
      <c r="F27" s="372"/>
      <c r="G27" s="372"/>
      <c r="H27" s="372"/>
      <c r="I27" s="372"/>
      <c r="J27" s="372"/>
      <c r="K27" s="372"/>
      <c r="L27" s="372"/>
      <c r="M27" s="372"/>
      <c r="N27" s="372"/>
      <c r="O27" s="372"/>
      <c r="P27" s="293"/>
      <c r="Q27" s="293"/>
      <c r="R27" s="372"/>
      <c r="S27" s="372"/>
      <c r="T27" s="372"/>
      <c r="U27" s="372"/>
      <c r="V27" s="372"/>
      <c r="W27" s="372"/>
      <c r="X27" s="372"/>
      <c r="Y27" s="372"/>
      <c r="Z27" s="372"/>
      <c r="AA27" s="372"/>
      <c r="AB27" s="372"/>
      <c r="AC27" s="372"/>
      <c r="AD27" s="372"/>
      <c r="AE27" s="372"/>
      <c r="AF27" s="372"/>
      <c r="AG27" s="372"/>
      <c r="AH27" s="392"/>
      <c r="AJ27" s="382"/>
      <c r="AK27" s="15"/>
      <c r="AL27" s="15"/>
      <c r="AM27" s="15"/>
      <c r="AP27" s="13">
        <f>SUM(AP24:AP26)</f>
        <v>11.11693787183026</v>
      </c>
    </row>
    <row r="28" spans="1:39" s="46" customFormat="1" ht="12.75">
      <c r="A28" s="710" t="s">
        <v>728</v>
      </c>
      <c r="B28" s="711">
        <v>7.1416214229702915</v>
      </c>
      <c r="C28" s="711"/>
      <c r="D28" s="711"/>
      <c r="E28" s="711"/>
      <c r="F28" s="711">
        <v>7.1416214229702915</v>
      </c>
      <c r="G28" s="711"/>
      <c r="H28" s="711"/>
      <c r="I28" s="711"/>
      <c r="J28" s="711">
        <v>6.284626852213856</v>
      </c>
      <c r="K28" s="711"/>
      <c r="L28" s="711"/>
      <c r="M28" s="711"/>
      <c r="N28" s="711"/>
      <c r="O28" s="711"/>
      <c r="P28" s="712">
        <f>(1/100)*25.2</f>
        <v>0.252</v>
      </c>
      <c r="Q28" s="712"/>
      <c r="R28" s="711">
        <v>5.341932824381778</v>
      </c>
      <c r="S28" s="711"/>
      <c r="T28" s="711"/>
      <c r="U28" s="711"/>
      <c r="V28" s="711">
        <v>0.23416691832906428</v>
      </c>
      <c r="W28" s="711"/>
      <c r="X28" s="711">
        <v>6.638515051169806</v>
      </c>
      <c r="Y28" s="711"/>
      <c r="Z28" s="711"/>
      <c r="AA28" s="711"/>
      <c r="AB28" s="711"/>
      <c r="AC28" s="711"/>
      <c r="AD28" s="711">
        <v>6.289234034272532</v>
      </c>
      <c r="AE28" s="711"/>
      <c r="AF28" s="711">
        <v>0.052107618091149444</v>
      </c>
      <c r="AG28" s="711"/>
      <c r="AH28" s="713">
        <f>AF28/$AF$44</f>
        <v>0.03411851830016153</v>
      </c>
      <c r="AI28" s="293"/>
      <c r="AJ28" s="382">
        <f>AH28*3</f>
        <v>0.10235555490048459</v>
      </c>
      <c r="AK28" s="182">
        <f>AJ28*120</f>
        <v>12.28266658805815</v>
      </c>
      <c r="AL28" s="182"/>
      <c r="AM28" s="182"/>
    </row>
    <row r="29" spans="1:39" s="46" customFormat="1" ht="12.75">
      <c r="A29" s="714" t="s">
        <v>729</v>
      </c>
      <c r="B29" s="715">
        <v>1.494372205179829</v>
      </c>
      <c r="C29" s="715"/>
      <c r="D29" s="715">
        <v>0</v>
      </c>
      <c r="E29" s="715"/>
      <c r="F29" s="715">
        <v>1.494372205179829</v>
      </c>
      <c r="G29" s="715"/>
      <c r="H29" s="715">
        <v>12</v>
      </c>
      <c r="I29" s="715"/>
      <c r="J29" s="715">
        <v>1.3150475405582494</v>
      </c>
      <c r="K29" s="715"/>
      <c r="L29" s="715">
        <v>0</v>
      </c>
      <c r="M29" s="715"/>
      <c r="N29" s="715">
        <v>15</v>
      </c>
      <c r="O29" s="715"/>
      <c r="P29" s="635">
        <f>(1/100)*25.2</f>
        <v>0.252</v>
      </c>
      <c r="Q29" s="635"/>
      <c r="R29" s="715">
        <v>1.117790409474512</v>
      </c>
      <c r="S29" s="715"/>
      <c r="T29" s="715"/>
      <c r="U29" s="715"/>
      <c r="V29" s="715">
        <v>0.048999031648197786</v>
      </c>
      <c r="W29" s="715"/>
      <c r="X29" s="715">
        <v>1.3890980477105832</v>
      </c>
      <c r="Y29" s="715"/>
      <c r="Z29" s="715">
        <v>169</v>
      </c>
      <c r="AA29" s="715"/>
      <c r="AB29" s="715">
        <v>126</v>
      </c>
      <c r="AC29" s="715"/>
      <c r="AD29" s="715">
        <v>1.86315531796102</v>
      </c>
      <c r="AE29" s="715"/>
      <c r="AF29" s="715">
        <v>0.011024587680242722</v>
      </c>
      <c r="AG29" s="715"/>
      <c r="AH29" s="716">
        <f>AF29/AF28</f>
        <v>0.21157343367639492</v>
      </c>
      <c r="AJ29" s="503"/>
      <c r="AK29" s="182"/>
      <c r="AL29" s="182"/>
      <c r="AM29" s="182"/>
    </row>
    <row r="30" spans="1:39" s="46" customFormat="1" ht="12.75">
      <c r="A30" s="714" t="s">
        <v>730</v>
      </c>
      <c r="B30" s="715">
        <v>0.624263560248514</v>
      </c>
      <c r="C30" s="715"/>
      <c r="D30" s="715">
        <v>0</v>
      </c>
      <c r="E30" s="715"/>
      <c r="F30" s="715">
        <v>0.624263560248514</v>
      </c>
      <c r="G30" s="715"/>
      <c r="H30" s="715">
        <v>12</v>
      </c>
      <c r="I30" s="715"/>
      <c r="J30" s="715">
        <v>0.5493519330186923</v>
      </c>
      <c r="K30" s="715"/>
      <c r="L30" s="715">
        <v>0</v>
      </c>
      <c r="M30" s="715"/>
      <c r="N30" s="715">
        <v>15</v>
      </c>
      <c r="O30" s="715"/>
      <c r="P30" s="635">
        <f>(1/100)*25.2</f>
        <v>0.252</v>
      </c>
      <c r="Q30" s="635"/>
      <c r="R30" s="715">
        <v>0.4669491430658884</v>
      </c>
      <c r="S30" s="715"/>
      <c r="T30" s="715"/>
      <c r="U30" s="715"/>
      <c r="V30" s="715">
        <v>0.020469003531655386</v>
      </c>
      <c r="W30" s="715"/>
      <c r="X30" s="715">
        <v>0.5802860156206642</v>
      </c>
      <c r="Y30" s="715"/>
      <c r="Z30" s="715">
        <v>169</v>
      </c>
      <c r="AA30" s="715"/>
      <c r="AB30" s="715">
        <v>126</v>
      </c>
      <c r="AC30" s="715"/>
      <c r="AD30" s="715">
        <v>0.778320132062637</v>
      </c>
      <c r="AE30" s="715"/>
      <c r="AF30" s="715">
        <v>0.004605444568417971</v>
      </c>
      <c r="AG30" s="715"/>
      <c r="AH30" s="716">
        <f>AF30/AF28</f>
        <v>0.08838332545467498</v>
      </c>
      <c r="AJ30" s="503"/>
      <c r="AK30" s="182"/>
      <c r="AL30" s="182"/>
      <c r="AM30" s="182"/>
    </row>
    <row r="31" spans="1:39" s="46" customFormat="1" ht="12.75">
      <c r="A31" s="714" t="s">
        <v>731</v>
      </c>
      <c r="B31" s="715">
        <v>5.022985657541948</v>
      </c>
      <c r="C31" s="715"/>
      <c r="D31" s="715">
        <v>0</v>
      </c>
      <c r="E31" s="715"/>
      <c r="F31" s="715">
        <v>5.022985657541948</v>
      </c>
      <c r="G31" s="715"/>
      <c r="H31" s="715">
        <v>12</v>
      </c>
      <c r="I31" s="715"/>
      <c r="J31" s="715">
        <v>4.420227378636914</v>
      </c>
      <c r="K31" s="715"/>
      <c r="L31" s="715">
        <v>0</v>
      </c>
      <c r="M31" s="715"/>
      <c r="N31" s="715">
        <v>15</v>
      </c>
      <c r="O31" s="715"/>
      <c r="P31" s="635">
        <f>(1/100)*25.2</f>
        <v>0.252</v>
      </c>
      <c r="Q31" s="635"/>
      <c r="R31" s="715">
        <v>3.757193271841378</v>
      </c>
      <c r="S31" s="715"/>
      <c r="T31" s="715"/>
      <c r="U31" s="715"/>
      <c r="V31" s="715">
        <v>0.16469888314921105</v>
      </c>
      <c r="W31" s="715"/>
      <c r="X31" s="715">
        <v>4.6691309878385585</v>
      </c>
      <c r="Y31" s="715"/>
      <c r="Z31" s="715">
        <v>100</v>
      </c>
      <c r="AA31" s="715"/>
      <c r="AB31" s="715">
        <v>128</v>
      </c>
      <c r="AC31" s="715"/>
      <c r="AD31" s="715">
        <v>3.6477585842488742</v>
      </c>
      <c r="AE31" s="715"/>
      <c r="AF31" s="715">
        <v>0.03647758584248874</v>
      </c>
      <c r="AG31" s="715"/>
      <c r="AH31" s="716">
        <f>AF31/AF28</f>
        <v>0.7000432408689299</v>
      </c>
      <c r="AJ31" s="503"/>
      <c r="AK31" s="182"/>
      <c r="AL31" s="182"/>
      <c r="AM31" s="182"/>
    </row>
    <row r="32" spans="1:39" s="13" customFormat="1" ht="12.75">
      <c r="A32" s="326"/>
      <c r="B32" s="592"/>
      <c r="C32" s="592"/>
      <c r="D32" s="592"/>
      <c r="E32" s="592"/>
      <c r="F32" s="592"/>
      <c r="G32" s="592"/>
      <c r="H32" s="592"/>
      <c r="I32" s="592"/>
      <c r="J32" s="592"/>
      <c r="K32" s="592"/>
      <c r="L32" s="592"/>
      <c r="M32" s="592"/>
      <c r="N32" s="592"/>
      <c r="O32" s="592"/>
      <c r="P32" s="342"/>
      <c r="Q32" s="342"/>
      <c r="R32" s="592"/>
      <c r="S32" s="592"/>
      <c r="T32" s="592"/>
      <c r="U32" s="592"/>
      <c r="V32" s="592"/>
      <c r="W32" s="592"/>
      <c r="X32" s="592"/>
      <c r="Y32" s="592"/>
      <c r="Z32" s="592"/>
      <c r="AA32" s="592"/>
      <c r="AB32" s="592"/>
      <c r="AC32" s="592"/>
      <c r="AD32" s="592"/>
      <c r="AE32" s="592"/>
      <c r="AF32" s="592"/>
      <c r="AG32" s="592"/>
      <c r="AH32" s="717"/>
      <c r="AJ32" s="382"/>
      <c r="AK32" s="15"/>
      <c r="AL32" s="15"/>
      <c r="AM32" s="15"/>
    </row>
    <row r="33" spans="1:39" s="46" customFormat="1" ht="12.75">
      <c r="A33" s="710" t="s">
        <v>732</v>
      </c>
      <c r="B33" s="711">
        <v>3.6298863097152165</v>
      </c>
      <c r="C33" s="711"/>
      <c r="D33" s="711"/>
      <c r="E33" s="711"/>
      <c r="F33" s="711">
        <v>3.6298863097152165</v>
      </c>
      <c r="G33" s="711"/>
      <c r="H33" s="711"/>
      <c r="I33" s="711"/>
      <c r="J33" s="711">
        <v>3.5935874466180637</v>
      </c>
      <c r="K33" s="711"/>
      <c r="L33" s="711"/>
      <c r="M33" s="711"/>
      <c r="N33" s="711"/>
      <c r="O33" s="711"/>
      <c r="P33" s="712">
        <f>(1/100)*41.59</f>
        <v>0.41590000000000005</v>
      </c>
      <c r="Q33" s="712"/>
      <c r="R33" s="711">
        <v>2.1202165935046575</v>
      </c>
      <c r="S33" s="711"/>
      <c r="T33" s="711"/>
      <c r="U33" s="711"/>
      <c r="V33" s="711">
        <v>0.0929410013591083</v>
      </c>
      <c r="W33" s="711"/>
      <c r="X33" s="711">
        <v>2.63483091803004</v>
      </c>
      <c r="Y33" s="711"/>
      <c r="Z33" s="711"/>
      <c r="AA33" s="711"/>
      <c r="AB33" s="711"/>
      <c r="AC33" s="711"/>
      <c r="AD33" s="711">
        <v>9.720373672944614</v>
      </c>
      <c r="AE33" s="711"/>
      <c r="AF33" s="711">
        <v>0.0876632429968101</v>
      </c>
      <c r="AG33" s="711"/>
      <c r="AH33" s="713">
        <f>AF33/$AF$44</f>
        <v>0.057399283828446335</v>
      </c>
      <c r="AJ33" s="503">
        <f>AH33*3</f>
        <v>0.172197851485339</v>
      </c>
      <c r="AK33" s="182">
        <f>AJ33*120</f>
        <v>20.663742178240682</v>
      </c>
      <c r="AL33" s="182"/>
      <c r="AM33" s="182"/>
    </row>
    <row r="34" spans="1:39" s="46" customFormat="1" ht="12.75">
      <c r="A34" s="714" t="s">
        <v>733</v>
      </c>
      <c r="B34" s="715">
        <v>0.10874934899719786</v>
      </c>
      <c r="C34" s="715"/>
      <c r="D34" s="715">
        <v>0</v>
      </c>
      <c r="E34" s="715"/>
      <c r="F34" s="715">
        <v>0.10874934899719786</v>
      </c>
      <c r="G34" s="715"/>
      <c r="H34" s="715">
        <v>1</v>
      </c>
      <c r="I34" s="715"/>
      <c r="J34" s="715">
        <v>0.10766185550722587</v>
      </c>
      <c r="K34" s="715"/>
      <c r="L34" s="715">
        <v>0</v>
      </c>
      <c r="M34" s="715"/>
      <c r="N34" s="715">
        <v>41</v>
      </c>
      <c r="O34" s="715"/>
      <c r="P34" s="635">
        <f>(1/100)*41.59</f>
        <v>0.41590000000000005</v>
      </c>
      <c r="Q34" s="635"/>
      <c r="R34" s="715">
        <v>0.06352049474926327</v>
      </c>
      <c r="S34" s="715"/>
      <c r="T34" s="715"/>
      <c r="U34" s="715"/>
      <c r="V34" s="715">
        <v>0.0027844600438033215</v>
      </c>
      <c r="W34" s="715"/>
      <c r="X34" s="715">
        <v>0.07893805001180225</v>
      </c>
      <c r="Y34" s="715"/>
      <c r="Z34" s="715">
        <v>159</v>
      </c>
      <c r="AA34" s="715"/>
      <c r="AB34" s="715">
        <v>32</v>
      </c>
      <c r="AC34" s="715"/>
      <c r="AD34" s="715">
        <v>0.3922234359961424</v>
      </c>
      <c r="AE34" s="715"/>
      <c r="AF34" s="715">
        <v>0.0024668140628688203</v>
      </c>
      <c r="AG34" s="715"/>
      <c r="AH34" s="716">
        <f>AF34/AF33</f>
        <v>0.028139662400563748</v>
      </c>
      <c r="AJ34" s="503"/>
      <c r="AK34" s="182"/>
      <c r="AL34" s="182"/>
      <c r="AM34" s="182"/>
    </row>
    <row r="35" spans="1:39" s="46" customFormat="1" ht="12.75">
      <c r="A35" s="714" t="s">
        <v>734</v>
      </c>
      <c r="B35" s="715">
        <v>3.2746973275821545</v>
      </c>
      <c r="C35" s="715"/>
      <c r="D35" s="715">
        <v>0</v>
      </c>
      <c r="E35" s="715"/>
      <c r="F35" s="715">
        <v>3.2746973275821545</v>
      </c>
      <c r="G35" s="715"/>
      <c r="H35" s="715">
        <v>1</v>
      </c>
      <c r="I35" s="715"/>
      <c r="J35" s="715">
        <v>3.241950354306333</v>
      </c>
      <c r="K35" s="715"/>
      <c r="L35" s="715">
        <v>0</v>
      </c>
      <c r="M35" s="715"/>
      <c r="N35" s="715">
        <v>41</v>
      </c>
      <c r="O35" s="715"/>
      <c r="P35" s="635">
        <f>(1/100)*41.59</f>
        <v>0.41590000000000005</v>
      </c>
      <c r="Q35" s="635"/>
      <c r="R35" s="715">
        <v>1.9127507090407367</v>
      </c>
      <c r="S35" s="715"/>
      <c r="T35" s="715"/>
      <c r="U35" s="715"/>
      <c r="V35" s="715">
        <v>0.08384660642370353</v>
      </c>
      <c r="W35" s="715"/>
      <c r="X35" s="715">
        <v>2.3770093688087828</v>
      </c>
      <c r="Y35" s="715"/>
      <c r="Z35" s="715">
        <v>109</v>
      </c>
      <c r="AA35" s="715"/>
      <c r="AB35" s="715">
        <v>30</v>
      </c>
      <c r="AC35" s="715"/>
      <c r="AD35" s="715">
        <v>8.63646737333858</v>
      </c>
      <c r="AE35" s="715"/>
      <c r="AF35" s="715">
        <v>0.07923364562695943</v>
      </c>
      <c r="AG35" s="715"/>
      <c r="AH35" s="716">
        <f>AF35/AF33</f>
        <v>0.9038411416041567</v>
      </c>
      <c r="AJ35" s="503"/>
      <c r="AK35" s="182"/>
      <c r="AL35" s="182"/>
      <c r="AM35" s="182"/>
    </row>
    <row r="36" spans="1:39" s="46" customFormat="1" ht="12.75">
      <c r="A36" s="714" t="s">
        <v>735</v>
      </c>
      <c r="B36" s="715">
        <v>0.2464396331358636</v>
      </c>
      <c r="C36" s="715"/>
      <c r="D36" s="715">
        <v>0</v>
      </c>
      <c r="E36" s="715"/>
      <c r="F36" s="715">
        <v>0.2464396331358636</v>
      </c>
      <c r="G36" s="715"/>
      <c r="H36" s="715">
        <v>1</v>
      </c>
      <c r="I36" s="715"/>
      <c r="J36" s="715">
        <v>0.2439752368045049</v>
      </c>
      <c r="K36" s="715"/>
      <c r="L36" s="715">
        <v>0</v>
      </c>
      <c r="M36" s="715"/>
      <c r="N36" s="715">
        <v>41</v>
      </c>
      <c r="O36" s="715"/>
      <c r="P36" s="635">
        <f>(1/100)*41.59</f>
        <v>0.41590000000000005</v>
      </c>
      <c r="Q36" s="635"/>
      <c r="R36" s="715">
        <v>0.14394538971465792</v>
      </c>
      <c r="S36" s="715"/>
      <c r="T36" s="715"/>
      <c r="U36" s="715"/>
      <c r="V36" s="715">
        <v>0.006309934891601442</v>
      </c>
      <c r="W36" s="715"/>
      <c r="X36" s="715">
        <v>0.1788834992094551</v>
      </c>
      <c r="Y36" s="715"/>
      <c r="Z36" s="715">
        <v>116</v>
      </c>
      <c r="AA36" s="715"/>
      <c r="AB36" s="715">
        <v>30</v>
      </c>
      <c r="AC36" s="715"/>
      <c r="AD36" s="715">
        <v>0.691682863609893</v>
      </c>
      <c r="AE36" s="715"/>
      <c r="AF36" s="715">
        <v>0.005962783306981837</v>
      </c>
      <c r="AG36" s="715"/>
      <c r="AH36" s="716">
        <f>AF36/AF33</f>
        <v>0.06801919599527947</v>
      </c>
      <c r="AJ36" s="503"/>
      <c r="AK36" s="182"/>
      <c r="AL36" s="182"/>
      <c r="AM36" s="182"/>
    </row>
    <row r="37" spans="1:39" s="13" customFormat="1" ht="12.75">
      <c r="A37" s="326"/>
      <c r="B37" s="592"/>
      <c r="C37" s="592"/>
      <c r="D37" s="592"/>
      <c r="E37" s="592"/>
      <c r="F37" s="592"/>
      <c r="G37" s="592"/>
      <c r="H37" s="592"/>
      <c r="I37" s="592"/>
      <c r="J37" s="592"/>
      <c r="K37" s="592"/>
      <c r="L37" s="592"/>
      <c r="M37" s="592"/>
      <c r="N37" s="592"/>
      <c r="O37" s="592"/>
      <c r="P37" s="342"/>
      <c r="Q37" s="342"/>
      <c r="R37" s="592"/>
      <c r="S37" s="592"/>
      <c r="T37" s="592"/>
      <c r="U37" s="592"/>
      <c r="V37" s="592"/>
      <c r="W37" s="592"/>
      <c r="X37" s="592"/>
      <c r="Y37" s="592"/>
      <c r="Z37" s="592"/>
      <c r="AA37" s="592"/>
      <c r="AB37" s="592"/>
      <c r="AC37" s="592"/>
      <c r="AD37" s="592"/>
      <c r="AE37" s="592"/>
      <c r="AF37" s="592"/>
      <c r="AG37" s="592"/>
      <c r="AH37" s="717"/>
      <c r="AJ37" s="382"/>
      <c r="AK37" s="15"/>
      <c r="AL37" s="15"/>
      <c r="AM37" s="15"/>
    </row>
    <row r="38" spans="1:39" s="46" customFormat="1" ht="12.75">
      <c r="A38" s="718" t="s">
        <v>736</v>
      </c>
      <c r="B38" s="711">
        <v>0.41630024375469504</v>
      </c>
      <c r="C38" s="711"/>
      <c r="D38" s="711"/>
      <c r="E38" s="711"/>
      <c r="F38" s="711">
        <v>0.13654647995153993</v>
      </c>
      <c r="G38" s="711"/>
      <c r="H38" s="711"/>
      <c r="I38" s="711"/>
      <c r="J38" s="711">
        <v>0.12016090235735513</v>
      </c>
      <c r="K38" s="711"/>
      <c r="L38" s="711"/>
      <c r="M38" s="711"/>
      <c r="N38" s="711"/>
      <c r="O38" s="711"/>
      <c r="P38" s="712">
        <f>(1/100)*85.85664</f>
        <v>0.8585664</v>
      </c>
      <c r="Q38" s="712"/>
      <c r="R38" s="711">
        <v>0.058878842155104014</v>
      </c>
      <c r="S38" s="711"/>
      <c r="T38" s="711">
        <v>0.006894478004110541</v>
      </c>
      <c r="U38" s="711"/>
      <c r="V38" s="711">
        <v>0.002580990341045655</v>
      </c>
      <c r="W38" s="711"/>
      <c r="X38" s="711">
        <v>0.07316978567347379</v>
      </c>
      <c r="Y38" s="711"/>
      <c r="Z38" s="711"/>
      <c r="AA38" s="711"/>
      <c r="AB38" s="711"/>
      <c r="AC38" s="711"/>
      <c r="AD38" s="711">
        <v>0.044981425618938815</v>
      </c>
      <c r="AE38" s="711"/>
      <c r="AF38" s="711">
        <v>0.0002998761707929254</v>
      </c>
      <c r="AG38" s="711"/>
      <c r="AH38" s="713">
        <f>AF38/$AF$44</f>
        <v>0.00019634999633035607</v>
      </c>
      <c r="AJ38" s="503"/>
      <c r="AK38" s="182"/>
      <c r="AL38" s="182"/>
      <c r="AM38" s="182"/>
    </row>
    <row r="39" spans="1:39" s="46" customFormat="1" ht="12.75">
      <c r="A39" s="714" t="s">
        <v>737</v>
      </c>
      <c r="B39" s="715">
        <v>3.5031296612798193</v>
      </c>
      <c r="C39" s="715"/>
      <c r="D39" s="715">
        <v>79.5</v>
      </c>
      <c r="E39" s="715"/>
      <c r="F39" s="715">
        <v>0.7181415805623629</v>
      </c>
      <c r="G39" s="715"/>
      <c r="H39" s="715">
        <v>12</v>
      </c>
      <c r="I39" s="715"/>
      <c r="J39" s="715">
        <v>0.6319645908948793</v>
      </c>
      <c r="K39" s="715"/>
      <c r="L39" s="715">
        <v>0</v>
      </c>
      <c r="M39" s="715"/>
      <c r="N39" s="715">
        <v>12</v>
      </c>
      <c r="O39" s="715"/>
      <c r="P39" s="635">
        <f>(1/100)*84.1248</f>
        <v>0.841248</v>
      </c>
      <c r="Q39" s="635"/>
      <c r="R39" s="715">
        <v>0.5561288399874937</v>
      </c>
      <c r="S39" s="715"/>
      <c r="T39" s="715">
        <v>0.06512047306645127</v>
      </c>
      <c r="U39" s="715"/>
      <c r="V39" s="715">
        <v>0.024378250519999728</v>
      </c>
      <c r="W39" s="715"/>
      <c r="X39" s="715">
        <v>0.6911112131167323</v>
      </c>
      <c r="Y39" s="715"/>
      <c r="Z39" s="715">
        <v>150</v>
      </c>
      <c r="AA39" s="715"/>
      <c r="AB39" s="715">
        <v>244</v>
      </c>
      <c r="AC39" s="715"/>
      <c r="AD39" s="715">
        <v>0.4248634506865157</v>
      </c>
      <c r="AE39" s="715"/>
      <c r="AF39" s="715">
        <v>0.0028324230045767714</v>
      </c>
      <c r="AG39" s="715"/>
      <c r="AH39" s="635"/>
      <c r="AJ39" s="503"/>
      <c r="AK39" s="182"/>
      <c r="AL39" s="182"/>
      <c r="AM39" s="182"/>
    </row>
    <row r="40" spans="1:39" s="46" customFormat="1" ht="12.75">
      <c r="A40" s="714" t="s">
        <v>738</v>
      </c>
      <c r="B40" s="715">
        <v>0.41630024375469504</v>
      </c>
      <c r="C40" s="715"/>
      <c r="D40" s="715">
        <v>67.2</v>
      </c>
      <c r="E40" s="715"/>
      <c r="F40" s="715">
        <v>0.13654647995153993</v>
      </c>
      <c r="G40" s="715"/>
      <c r="H40" s="715">
        <v>12</v>
      </c>
      <c r="I40" s="715"/>
      <c r="J40" s="715">
        <v>0.12016090235735513</v>
      </c>
      <c r="K40" s="715"/>
      <c r="L40" s="715">
        <v>0</v>
      </c>
      <c r="M40" s="715"/>
      <c r="N40" s="715">
        <v>51</v>
      </c>
      <c r="O40" s="715"/>
      <c r="P40" s="635">
        <f>(1/100)*85.85664</f>
        <v>0.8585664</v>
      </c>
      <c r="Q40" s="635"/>
      <c r="R40" s="715">
        <v>0.058878842155104014</v>
      </c>
      <c r="S40" s="715"/>
      <c r="T40" s="715">
        <v>0.006894478004110541</v>
      </c>
      <c r="U40" s="715"/>
      <c r="V40" s="715">
        <v>0.002580990341045655</v>
      </c>
      <c r="W40" s="715"/>
      <c r="X40" s="715">
        <v>0.07316978567347379</v>
      </c>
      <c r="Y40" s="715"/>
      <c r="Z40" s="715">
        <v>150</v>
      </c>
      <c r="AA40" s="715"/>
      <c r="AB40" s="715">
        <v>244</v>
      </c>
      <c r="AC40" s="715"/>
      <c r="AD40" s="715">
        <v>0.044981425618938815</v>
      </c>
      <c r="AE40" s="715"/>
      <c r="AF40" s="715">
        <v>0.0002998761707929254</v>
      </c>
      <c r="AG40" s="715"/>
      <c r="AH40" s="635"/>
      <c r="AJ40" s="503"/>
      <c r="AK40" s="182"/>
      <c r="AL40" s="182"/>
      <c r="AM40" s="182"/>
    </row>
    <row r="41" spans="1:39" s="46" customFormat="1" ht="12.75">
      <c r="A41" s="714"/>
      <c r="B41" s="715"/>
      <c r="C41" s="715"/>
      <c r="D41" s="715"/>
      <c r="E41" s="715"/>
      <c r="F41" s="715"/>
      <c r="G41" s="715"/>
      <c r="H41" s="715"/>
      <c r="I41" s="715"/>
      <c r="J41" s="715"/>
      <c r="K41" s="715"/>
      <c r="L41" s="715"/>
      <c r="M41" s="715"/>
      <c r="N41" s="715"/>
      <c r="O41" s="715"/>
      <c r="P41" s="635"/>
      <c r="Q41" s="635"/>
      <c r="R41" s="715"/>
      <c r="S41" s="715"/>
      <c r="T41" s="715"/>
      <c r="U41" s="715"/>
      <c r="V41" s="715"/>
      <c r="W41" s="715"/>
      <c r="X41" s="715"/>
      <c r="Y41" s="715"/>
      <c r="Z41" s="715"/>
      <c r="AA41" s="715"/>
      <c r="AB41" s="715"/>
      <c r="AC41" s="715"/>
      <c r="AD41" s="715"/>
      <c r="AE41" s="715"/>
      <c r="AF41" s="715"/>
      <c r="AG41" s="715"/>
      <c r="AH41" s="635"/>
      <c r="AJ41" s="503"/>
      <c r="AK41" s="182"/>
      <c r="AL41" s="182"/>
      <c r="AM41" s="182"/>
    </row>
    <row r="42" spans="1:39" s="46" customFormat="1" ht="12.75">
      <c r="A42" s="710" t="s">
        <v>739</v>
      </c>
      <c r="B42" s="711">
        <v>2.4424355836436966</v>
      </c>
      <c r="C42" s="711"/>
      <c r="D42" s="711"/>
      <c r="E42" s="711"/>
      <c r="F42" s="711">
        <v>2.4424355836436966</v>
      </c>
      <c r="G42" s="711"/>
      <c r="H42" s="711"/>
      <c r="I42" s="711"/>
      <c r="J42" s="711">
        <v>2.149343313606453</v>
      </c>
      <c r="K42" s="711"/>
      <c r="L42" s="711"/>
      <c r="M42" s="711"/>
      <c r="N42" s="711"/>
      <c r="O42" s="711"/>
      <c r="P42" s="712">
        <f>(1/100)*26.4850812289098</f>
        <v>0.264850812289098</v>
      </c>
      <c r="Q42" s="712"/>
      <c r="R42" s="711">
        <v>1.7955033943026577</v>
      </c>
      <c r="S42" s="711"/>
      <c r="T42" s="711"/>
      <c r="U42" s="711"/>
      <c r="V42" s="711">
        <v>0.07870699810641787</v>
      </c>
      <c r="W42" s="711"/>
      <c r="X42" s="711">
        <v>2.2313040428178934</v>
      </c>
      <c r="Y42" s="711"/>
      <c r="Z42" s="711">
        <f>AD42/AF42</f>
        <v>356.2630139041001</v>
      </c>
      <c r="AA42" s="711"/>
      <c r="AB42" s="711"/>
      <c r="AC42" s="711"/>
      <c r="AD42" s="711">
        <v>1.758697131041385</v>
      </c>
      <c r="AE42" s="711"/>
      <c r="AF42" s="711">
        <v>0.004936513369066137</v>
      </c>
      <c r="AG42" s="711"/>
      <c r="AH42" s="713">
        <f>AF42/$AF$44</f>
        <v>0.0032322821094384765</v>
      </c>
      <c r="AJ42" s="503">
        <f>AH42*3</f>
        <v>0.009696846328315429</v>
      </c>
      <c r="AK42" s="182">
        <f>AJ42*280</f>
        <v>2.71511697192832</v>
      </c>
      <c r="AL42" s="182"/>
      <c r="AM42" s="182"/>
    </row>
    <row r="43" spans="1:39" s="46" customFormat="1" ht="13.5" thickBot="1">
      <c r="A43" s="7"/>
      <c r="B43" s="490"/>
      <c r="C43" s="490"/>
      <c r="D43" s="490"/>
      <c r="E43" s="490"/>
      <c r="F43" s="490"/>
      <c r="G43" s="490"/>
      <c r="H43" s="490"/>
      <c r="I43" s="490"/>
      <c r="J43" s="490"/>
      <c r="K43" s="490"/>
      <c r="L43" s="490"/>
      <c r="M43" s="490"/>
      <c r="N43" s="490"/>
      <c r="O43" s="490"/>
      <c r="P43" s="283"/>
      <c r="Q43" s="283"/>
      <c r="R43" s="490"/>
      <c r="S43" s="490"/>
      <c r="T43" s="490"/>
      <c r="U43" s="490"/>
      <c r="V43" s="490"/>
      <c r="W43" s="490"/>
      <c r="X43" s="490"/>
      <c r="Y43" s="490"/>
      <c r="Z43" s="490"/>
      <c r="AA43" s="490"/>
      <c r="AB43" s="490"/>
      <c r="AC43" s="490"/>
      <c r="AD43" s="490"/>
      <c r="AE43" s="490"/>
      <c r="AF43" s="490"/>
      <c r="AG43" s="490"/>
      <c r="AH43" s="465"/>
      <c r="AJ43" s="503"/>
      <c r="AK43" s="182"/>
      <c r="AL43" s="182"/>
      <c r="AM43" s="182"/>
    </row>
    <row r="44" spans="1:39" s="13" customFormat="1" ht="13.5" thickBot="1">
      <c r="A44" s="491" t="s">
        <v>740</v>
      </c>
      <c r="B44" s="492">
        <v>256.47881726932184</v>
      </c>
      <c r="C44" s="492"/>
      <c r="D44" s="492"/>
      <c r="E44" s="492"/>
      <c r="F44" s="492">
        <v>256.19906350551867</v>
      </c>
      <c r="G44" s="492"/>
      <c r="H44" s="492"/>
      <c r="I44" s="492"/>
      <c r="J44" s="492">
        <v>227.6710698992616</v>
      </c>
      <c r="K44" s="492"/>
      <c r="L44" s="492"/>
      <c r="M44" s="492"/>
      <c r="N44" s="492"/>
      <c r="O44" s="492"/>
      <c r="P44" s="493">
        <f>(1/100)*31.1835742680749</f>
        <v>0.311835742680749</v>
      </c>
      <c r="Q44" s="493"/>
      <c r="R44" s="492">
        <v>176.4999585079175</v>
      </c>
      <c r="S44" s="492"/>
      <c r="T44" s="492"/>
      <c r="U44" s="492"/>
      <c r="V44" s="492">
        <v>7.736984482538851</v>
      </c>
      <c r="W44" s="492"/>
      <c r="X44" s="492">
        <v>219.33964158773512</v>
      </c>
      <c r="Y44" s="492"/>
      <c r="Z44" s="492"/>
      <c r="AA44" s="492"/>
      <c r="AB44" s="492"/>
      <c r="AC44" s="492"/>
      <c r="AD44" s="492">
        <v>232.7725068827548</v>
      </c>
      <c r="AE44" s="492"/>
      <c r="AF44" s="494">
        <v>1.527253253870135</v>
      </c>
      <c r="AG44" s="372"/>
      <c r="AH44" s="293"/>
      <c r="AJ44" s="282">
        <f>SUM(AJ9:AJ42)</f>
        <v>2.9994109500110087</v>
      </c>
      <c r="AK44" s="15">
        <f>SUM(AK9:AK42)</f>
        <v>324.90326767385295</v>
      </c>
      <c r="AL44" s="15"/>
      <c r="AM44" s="15"/>
    </row>
    <row r="45" spans="2:39" s="13" customFormat="1" ht="12.75">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293"/>
      <c r="AJ45" s="382"/>
      <c r="AK45" s="15">
        <f>AK44-Diet!B39</f>
        <v>324.90326767385295</v>
      </c>
      <c r="AL45" s="15"/>
      <c r="AM45" s="15"/>
    </row>
    <row r="46" spans="2:33" ht="12.75">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row>
    <row r="47" spans="2:33" ht="12.75">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row>
    <row r="48" spans="2:33" ht="12.7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row>
  </sheetData>
  <sheetProtection/>
  <mergeCells count="38">
    <mergeCell ref="AJ3:AK3"/>
    <mergeCell ref="AK4:AK6"/>
    <mergeCell ref="AJ4:AJ6"/>
    <mergeCell ref="AD3:AE6"/>
    <mergeCell ref="A3:A6"/>
    <mergeCell ref="B3:C6"/>
    <mergeCell ref="D3:E6"/>
    <mergeCell ref="F3:G6"/>
    <mergeCell ref="H3:I6"/>
    <mergeCell ref="J3:K6"/>
    <mergeCell ref="B7:C7"/>
    <mergeCell ref="D7:E7"/>
    <mergeCell ref="F7:G7"/>
    <mergeCell ref="H7:I7"/>
    <mergeCell ref="J7:K7"/>
    <mergeCell ref="L3:O3"/>
    <mergeCell ref="L4:M6"/>
    <mergeCell ref="N4:O6"/>
    <mergeCell ref="P3:Q6"/>
    <mergeCell ref="R3:Y6"/>
    <mergeCell ref="Z3:AA6"/>
    <mergeCell ref="AB3:AC6"/>
    <mergeCell ref="L7:M7"/>
    <mergeCell ref="N7:O7"/>
    <mergeCell ref="P7:Q7"/>
    <mergeCell ref="R7:S7"/>
    <mergeCell ref="T7:U7"/>
    <mergeCell ref="V7:W7"/>
    <mergeCell ref="AL4:AM6"/>
    <mergeCell ref="AL3:AM3"/>
    <mergeCell ref="X7:Y7"/>
    <mergeCell ref="Z7:AA7"/>
    <mergeCell ref="AB7:AC7"/>
    <mergeCell ref="AD7:AE7"/>
    <mergeCell ref="AF7:AG7"/>
    <mergeCell ref="AF3:AG6"/>
    <mergeCell ref="AH3:AH6"/>
    <mergeCell ref="AI3:AI6"/>
  </mergeCell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K38"/>
  <sheetViews>
    <sheetView zoomScalePageLayoutView="0" workbookViewId="0" topLeftCell="A1">
      <selection activeCell="E21" sqref="E21"/>
    </sheetView>
  </sheetViews>
  <sheetFormatPr defaultColWidth="8.8515625" defaultRowHeight="12.75"/>
  <cols>
    <col min="1" max="1" width="26.140625" style="0" customWidth="1"/>
    <col min="2" max="2" width="12.421875" style="0" customWidth="1"/>
    <col min="3" max="3" width="14.8515625" style="0" customWidth="1"/>
    <col min="4" max="4" width="13.28125" style="0" customWidth="1"/>
    <col min="5" max="5" width="14.28125" style="0" customWidth="1"/>
    <col min="6" max="6" width="13.00390625" style="0" customWidth="1"/>
  </cols>
  <sheetData>
    <row r="1" spans="1:9" ht="15">
      <c r="A1" s="947" t="s">
        <v>1135</v>
      </c>
      <c r="D1" s="1047"/>
      <c r="E1" s="1047"/>
      <c r="F1" s="1047"/>
      <c r="G1" s="1047"/>
      <c r="H1" s="1047"/>
      <c r="I1" s="1047"/>
    </row>
    <row r="2" spans="2:10" s="685" customFormat="1" ht="36.75" customHeight="1">
      <c r="B2" s="1038" t="s">
        <v>990</v>
      </c>
      <c r="C2" s="1038" t="s">
        <v>965</v>
      </c>
      <c r="D2" s="375" t="s">
        <v>1130</v>
      </c>
      <c r="E2" s="371" t="s">
        <v>2</v>
      </c>
      <c r="F2" s="375" t="s">
        <v>362</v>
      </c>
      <c r="G2" s="463" t="s">
        <v>140</v>
      </c>
      <c r="H2" s="375" t="s">
        <v>465</v>
      </c>
      <c r="I2" s="1050" t="s">
        <v>701</v>
      </c>
      <c r="J2" s="994" t="s">
        <v>134</v>
      </c>
    </row>
    <row r="3" spans="1:10" ht="12.75">
      <c r="A3" s="8"/>
      <c r="B3" s="371" t="s">
        <v>585</v>
      </c>
      <c r="C3" s="747" t="s">
        <v>987</v>
      </c>
      <c r="D3" s="1404" t="s">
        <v>269</v>
      </c>
      <c r="E3" s="1405"/>
      <c r="F3" s="1405"/>
      <c r="G3" s="1405"/>
      <c r="H3" s="1405"/>
      <c r="I3" s="1405"/>
      <c r="J3" s="1406"/>
    </row>
    <row r="4" spans="1:11" ht="12.75">
      <c r="A4" s="13" t="s">
        <v>1038</v>
      </c>
      <c r="B4" s="959">
        <f>Cattle!B6</f>
        <v>218700</v>
      </c>
      <c r="C4" s="14">
        <f>Cattle!C6</f>
        <v>4037769000</v>
      </c>
      <c r="D4" s="1407" t="s">
        <v>1141</v>
      </c>
      <c r="E4" s="1407"/>
      <c r="F4" s="1407"/>
      <c r="G4" s="15">
        <f>Cattle!Z6</f>
        <v>58.279660392213</v>
      </c>
      <c r="H4" s="15">
        <f>Cattle!AA6</f>
        <v>177.17990665390136</v>
      </c>
      <c r="J4" s="15"/>
      <c r="K4" s="961" t="s">
        <v>1140</v>
      </c>
    </row>
    <row r="5" spans="1:10" ht="12.75">
      <c r="A5" s="13" t="s">
        <v>991</v>
      </c>
      <c r="B5" s="14">
        <f>Cattle!B7</f>
        <v>138760.73178827149</v>
      </c>
      <c r="C5" s="14">
        <f>Cattle!C7</f>
        <v>2861593191.303629</v>
      </c>
      <c r="D5" s="14">
        <f>Cattle!X7+Cattle!Y7</f>
        <v>820.7624017939024</v>
      </c>
      <c r="E5" s="14"/>
      <c r="F5" s="14"/>
      <c r="G5" s="14">
        <f>Cattle!Z7</f>
        <v>41.30317493889436</v>
      </c>
      <c r="H5" s="14">
        <f>Cattle!AA7</f>
        <v>125.568553950614</v>
      </c>
      <c r="J5" s="14">
        <f>SUM(E5:H5)</f>
        <v>166.87172888950835</v>
      </c>
    </row>
    <row r="6" spans="1:10" ht="12.75">
      <c r="A6" s="1018" t="s">
        <v>134</v>
      </c>
      <c r="B6" s="367">
        <f>SUM(B4:B5)</f>
        <v>357460.73178827146</v>
      </c>
      <c r="C6" s="367">
        <f>SUM(C4:C5)</f>
        <v>6899362191.303629</v>
      </c>
      <c r="D6" s="367"/>
      <c r="E6" s="367"/>
      <c r="F6" s="367"/>
      <c r="G6" s="367">
        <f>SUM(G4:G5)</f>
        <v>99.58283533110736</v>
      </c>
      <c r="H6" s="367">
        <f>SUM(H4:H5)</f>
        <v>302.74846060451534</v>
      </c>
      <c r="I6" s="11"/>
      <c r="J6" s="367"/>
    </row>
    <row r="7" spans="1:10" ht="12.75">
      <c r="A7" s="43"/>
      <c r="B7" s="32"/>
      <c r="C7" s="32"/>
      <c r="D7" s="32"/>
      <c r="E7" s="32"/>
      <c r="F7" s="32"/>
      <c r="G7" s="32"/>
      <c r="H7" s="32"/>
      <c r="J7" s="32"/>
    </row>
    <row r="8" spans="1:10" ht="12.75">
      <c r="A8" s="13" t="s">
        <v>1139</v>
      </c>
      <c r="B8" s="14"/>
      <c r="C8" s="1017">
        <f>Cattle!C18</f>
        <v>65232468</v>
      </c>
      <c r="D8" s="1408" t="s">
        <v>1141</v>
      </c>
      <c r="E8" s="1408"/>
      <c r="F8" s="1408"/>
      <c r="G8" s="14">
        <f>Cattle!Z11+Cattle!Z13</f>
        <v>8.677734039507587</v>
      </c>
      <c r="H8" s="14">
        <f>Cattle!AA11+Cattle!AA13</f>
        <v>1.2161919578745808</v>
      </c>
      <c r="J8" s="15"/>
    </row>
    <row r="9" spans="1:10" ht="12.75">
      <c r="A9" s="13" t="s">
        <v>1049</v>
      </c>
      <c r="B9" s="14">
        <f>Cattle!B19</f>
        <v>1513492.0984616198</v>
      </c>
      <c r="C9" s="14">
        <f>Cattle!C19</f>
        <v>1239550028.6400666</v>
      </c>
      <c r="E9" s="14">
        <f>Cattle!X19</f>
        <v>3178.333406769402</v>
      </c>
      <c r="F9" s="249">
        <f>Cattle!Y19</f>
        <v>3178.8654272744434</v>
      </c>
      <c r="G9" s="14">
        <f>Cattle!Z19</f>
        <v>657.3414365038122</v>
      </c>
      <c r="H9" s="14">
        <f>Cattle!AA19</f>
        <v>113.2039925249536</v>
      </c>
      <c r="J9" s="15">
        <f>SUM(E9:I9)</f>
        <v>7127.744263072612</v>
      </c>
    </row>
    <row r="10" spans="1:10" ht="12.75">
      <c r="A10" s="1018" t="s">
        <v>134</v>
      </c>
      <c r="B10" s="367"/>
      <c r="C10" s="367">
        <f>SUM(C8:C9)</f>
        <v>1304782496.6400666</v>
      </c>
      <c r="D10" s="11"/>
      <c r="E10" s="367"/>
      <c r="F10" s="1011"/>
      <c r="G10" s="367">
        <f>SUM(G8:G9)</f>
        <v>666.0191705433199</v>
      </c>
      <c r="H10" s="367">
        <f>SUM(H8:H9)</f>
        <v>114.42018448282819</v>
      </c>
      <c r="I10" s="11"/>
      <c r="J10" s="367"/>
    </row>
    <row r="11" spans="1:10" ht="12.75">
      <c r="A11" s="1036"/>
      <c r="B11" s="32"/>
      <c r="C11" s="32"/>
      <c r="D11" s="530"/>
      <c r="E11" s="32"/>
      <c r="F11" s="530"/>
      <c r="G11" s="32"/>
      <c r="H11" s="32"/>
      <c r="J11" s="32"/>
    </row>
    <row r="12" spans="1:10" ht="12.75">
      <c r="A12" s="13" t="s">
        <v>1097</v>
      </c>
      <c r="B12" s="14">
        <f>Sheep!B6+Sheep!B9+Sheep!B7</f>
        <v>69400</v>
      </c>
      <c r="C12" s="1017">
        <f>Sheep!C13</f>
        <v>1430136</v>
      </c>
      <c r="D12" s="1408" t="s">
        <v>1141</v>
      </c>
      <c r="E12" s="1408"/>
      <c r="F12" s="1408"/>
      <c r="G12" s="549">
        <f>Sheep!Z13</f>
        <v>2.0708249832999335</v>
      </c>
      <c r="H12" s="549">
        <f>Sheep!AA13</f>
        <v>2.16413106350726</v>
      </c>
      <c r="J12" s="15"/>
    </row>
    <row r="13" spans="1:10" ht="12.75">
      <c r="A13" s="13" t="s">
        <v>1050</v>
      </c>
      <c r="B13" s="14"/>
      <c r="C13" s="14">
        <f>Sheep!C18</f>
        <v>15116502.407123456</v>
      </c>
      <c r="E13" s="14"/>
      <c r="F13" s="1051">
        <f>Sheep!Y18</f>
        <v>122.76169958763677</v>
      </c>
      <c r="G13" s="14">
        <f>Sheep!Z18</f>
        <v>27.812320688604146</v>
      </c>
      <c r="H13" s="14">
        <f>Sheep!AA18</f>
        <v>22.134027355100233</v>
      </c>
      <c r="J13" s="15">
        <f>SUM(E13:I13)</f>
        <v>172.70804763134115</v>
      </c>
    </row>
    <row r="14" spans="1:10" ht="12.75">
      <c r="A14" s="228" t="s">
        <v>134</v>
      </c>
      <c r="B14" s="367"/>
      <c r="C14" s="367">
        <f>Protein!G14</f>
        <v>16546638.407123456</v>
      </c>
      <c r="D14" s="11"/>
      <c r="E14" s="367"/>
      <c r="F14" s="1011"/>
      <c r="G14" s="367">
        <f>SUM(G12:G13)</f>
        <v>29.883145671904078</v>
      </c>
      <c r="H14" s="367">
        <f>SUM(H12:H13)</f>
        <v>24.298158418607493</v>
      </c>
      <c r="I14" s="11"/>
      <c r="J14" s="367"/>
    </row>
    <row r="15" spans="1:10" ht="12.75">
      <c r="A15" s="19"/>
      <c r="B15" s="32"/>
      <c r="C15" s="32"/>
      <c r="D15" s="530"/>
      <c r="E15" s="32"/>
      <c r="F15" s="530"/>
      <c r="G15" s="32"/>
      <c r="H15" s="32"/>
      <c r="J15" s="32"/>
    </row>
    <row r="16" spans="1:10" ht="12.75">
      <c r="A16" s="188" t="s">
        <v>1098</v>
      </c>
      <c r="B16" s="32">
        <f>Goats!B9</f>
        <v>25820</v>
      </c>
      <c r="C16" s="32"/>
      <c r="D16" s="1408" t="s">
        <v>1141</v>
      </c>
      <c r="E16" s="1408"/>
      <c r="F16" s="1408"/>
      <c r="G16" s="885">
        <f>Goats!AA9</f>
        <v>0.3596816744279466</v>
      </c>
      <c r="H16" s="885">
        <f>Goats!AB9</f>
        <v>0.7104337774260733</v>
      </c>
      <c r="I16" s="28">
        <f>Goats!AC9</f>
        <v>0.6672814502459168</v>
      </c>
      <c r="J16" s="15"/>
    </row>
    <row r="17" spans="1:10" ht="12.75">
      <c r="A17" s="19"/>
      <c r="B17" s="32"/>
      <c r="C17" s="32"/>
      <c r="D17" s="530"/>
      <c r="E17" s="32"/>
      <c r="F17" s="530"/>
      <c r="G17" s="32"/>
      <c r="H17" s="32"/>
      <c r="J17" s="32"/>
    </row>
    <row r="18" spans="1:10" ht="12.75">
      <c r="A18" s="13" t="s">
        <v>1070</v>
      </c>
      <c r="B18" s="14">
        <f>Pigs!B5+Pigs!B6</f>
        <v>49079.99999999999</v>
      </c>
      <c r="C18" s="14">
        <f>Pigs!C6</f>
        <v>6563652</v>
      </c>
      <c r="D18" s="14"/>
      <c r="E18" s="14"/>
      <c r="F18" s="14"/>
      <c r="G18" s="14">
        <f>Pigs!R6</f>
        <v>3.60064796259185</v>
      </c>
      <c r="H18" s="14">
        <f>Pigs!S6</f>
        <v>4.9458512845061415</v>
      </c>
      <c r="J18" s="15">
        <f>SUM(E18:I18)</f>
        <v>8.54649924709799</v>
      </c>
    </row>
    <row r="19" spans="1:10" ht="12.75">
      <c r="A19" s="13" t="s">
        <v>1058</v>
      </c>
      <c r="B19" s="14"/>
      <c r="C19" s="14">
        <f>C20-C18</f>
        <v>908484227.1438104</v>
      </c>
      <c r="D19" s="14"/>
      <c r="E19" s="14"/>
      <c r="F19" s="14"/>
      <c r="G19" s="14">
        <f>Pigs!R8</f>
        <v>399.6788868471963</v>
      </c>
      <c r="H19" s="14">
        <f>Pigs!S8</f>
        <v>548.9990569587002</v>
      </c>
      <c r="J19" s="15">
        <f>SUM(E19:I19)</f>
        <v>948.6779438058965</v>
      </c>
    </row>
    <row r="20" spans="1:10" ht="12.75">
      <c r="A20" s="228" t="s">
        <v>134</v>
      </c>
      <c r="B20" s="367"/>
      <c r="C20" s="367">
        <f>Protein!G15</f>
        <v>915047879.1438104</v>
      </c>
      <c r="D20" s="367"/>
      <c r="E20" s="367"/>
      <c r="F20" s="367"/>
      <c r="G20" s="367">
        <f>SUM(G18:G19)</f>
        <v>403.2795348097881</v>
      </c>
      <c r="H20" s="367">
        <f>SUM(H18:H19)</f>
        <v>553.9449082432063</v>
      </c>
      <c r="I20" s="11"/>
      <c r="J20" s="367">
        <f>SUM(J18:J19)</f>
        <v>957.2244430529945</v>
      </c>
    </row>
    <row r="21" spans="1:10" ht="12.75">
      <c r="A21" s="19"/>
      <c r="B21" s="32"/>
      <c r="C21" s="32"/>
      <c r="D21" s="32"/>
      <c r="E21" s="32"/>
      <c r="F21" s="32"/>
      <c r="G21" s="32"/>
      <c r="H21" s="32"/>
      <c r="J21" s="32"/>
    </row>
    <row r="22" spans="1:10" ht="12.75">
      <c r="A22" t="s">
        <v>1059</v>
      </c>
      <c r="B22" s="14">
        <v>8230</v>
      </c>
      <c r="C22" s="14">
        <f>Poultry!C5</f>
        <v>1856800000</v>
      </c>
      <c r="D22" s="14"/>
      <c r="E22" s="14"/>
      <c r="F22" s="14"/>
      <c r="G22" s="14">
        <f>Poultry!S5</f>
        <v>44.70418615007794</v>
      </c>
      <c r="H22" s="14">
        <f>Poultry!T5</f>
        <v>93.42145364608264</v>
      </c>
      <c r="J22" s="15">
        <f>SUM(E22:I22)</f>
        <v>138.12563979616058</v>
      </c>
    </row>
    <row r="23" spans="1:10" ht="12.75">
      <c r="A23" t="s">
        <v>1060</v>
      </c>
      <c r="B23" s="14">
        <f>C23*(B22/C22)</f>
        <v>10800.082027206443</v>
      </c>
      <c r="C23" s="14">
        <f>Poultry!C8</f>
        <v>2436645480.937658</v>
      </c>
      <c r="D23" s="14"/>
      <c r="E23" s="14"/>
      <c r="F23" s="14"/>
      <c r="G23" s="14">
        <f>Poultry!S8</f>
        <v>58.6645051494955</v>
      </c>
      <c r="H23" s="14">
        <f>Poultry!T8</f>
        <v>122.59530528293524</v>
      </c>
      <c r="J23" s="15">
        <f>SUM(E23:I23)</f>
        <v>181.25981043243075</v>
      </c>
    </row>
    <row r="24" spans="1:10" ht="12.75">
      <c r="A24" s="11" t="s">
        <v>134</v>
      </c>
      <c r="B24" s="367"/>
      <c r="C24" s="367">
        <f>Protein!G16</f>
        <v>4293445480.937658</v>
      </c>
      <c r="D24" s="367"/>
      <c r="E24" s="367"/>
      <c r="F24" s="367"/>
      <c r="G24" s="367">
        <f>SUM(G22:G23)</f>
        <v>103.36869129957344</v>
      </c>
      <c r="H24" s="367">
        <f>SUM(H22:H23)</f>
        <v>216.0167589290179</v>
      </c>
      <c r="I24" s="11"/>
      <c r="J24" s="367">
        <f>SUM(J22:J23)</f>
        <v>319.38545022859137</v>
      </c>
    </row>
    <row r="25" spans="1:10" ht="12.75">
      <c r="A25" s="4"/>
      <c r="B25" s="32"/>
      <c r="C25" s="32"/>
      <c r="D25" s="32"/>
      <c r="E25" s="32"/>
      <c r="F25" s="32"/>
      <c r="G25" s="32"/>
      <c r="H25" s="32"/>
      <c r="J25" s="32"/>
    </row>
    <row r="26" spans="1:10" ht="12.75">
      <c r="A26" s="188" t="s">
        <v>1069</v>
      </c>
      <c r="B26" s="14"/>
      <c r="C26" s="14">
        <f>Poultry!D5</f>
        <v>7950450</v>
      </c>
      <c r="D26" s="14"/>
      <c r="E26" s="14"/>
      <c r="F26" s="14"/>
      <c r="G26" s="14">
        <f>Poultry!S5</f>
        <v>44.70418615007794</v>
      </c>
      <c r="H26" s="14">
        <f>Poultry!T5</f>
        <v>93.42145364608264</v>
      </c>
      <c r="J26" s="14">
        <f>SUM(G26:I26)</f>
        <v>138.12563979616058</v>
      </c>
    </row>
    <row r="27" spans="1:10" ht="12.75">
      <c r="A27" s="188" t="s">
        <v>1071</v>
      </c>
      <c r="B27" s="14"/>
      <c r="C27" s="14">
        <f>Poultry!D8</f>
        <v>10433233.554459717</v>
      </c>
      <c r="D27" s="14"/>
      <c r="E27" s="14"/>
      <c r="F27" s="14"/>
      <c r="G27" s="14">
        <f>Poultry!S8</f>
        <v>58.6645051494955</v>
      </c>
      <c r="H27" s="14">
        <f>Poultry!T8</f>
        <v>122.59530528293524</v>
      </c>
      <c r="J27" s="14">
        <f>SUM(G27:I27)</f>
        <v>181.25981043243075</v>
      </c>
    </row>
    <row r="28" spans="1:10" ht="12.75">
      <c r="A28" t="s">
        <v>1061</v>
      </c>
      <c r="B28" s="14">
        <f>Poultry!B11</f>
        <v>457959</v>
      </c>
      <c r="C28" s="14">
        <f>Poultry!D11</f>
        <v>1717346.25</v>
      </c>
      <c r="D28" s="14"/>
      <c r="E28" s="14"/>
      <c r="F28" s="14"/>
      <c r="G28" s="49">
        <f>Poultry!S11</f>
        <v>0.3911378041797882</v>
      </c>
      <c r="H28" s="49">
        <f>Poultry!T11</f>
        <v>0.778157975609756</v>
      </c>
      <c r="J28" s="15">
        <f>SUM(E28:I28)</f>
        <v>1.1692957797895442</v>
      </c>
    </row>
    <row r="29" spans="1:10" ht="12.75">
      <c r="A29" t="s">
        <v>1062</v>
      </c>
      <c r="B29" s="14"/>
      <c r="C29" s="14">
        <f>Poultry!D12</f>
        <v>1393821089.7913969</v>
      </c>
      <c r="D29" s="14"/>
      <c r="E29" s="14"/>
      <c r="F29" s="14"/>
      <c r="G29" s="14">
        <f>Poultry!S12</f>
        <v>317.4526514268665</v>
      </c>
      <c r="H29" s="14">
        <f>Poultry!T12</f>
        <v>631.563377271332</v>
      </c>
      <c r="J29" s="15">
        <f>SUM(E29:I29)</f>
        <v>949.0160286981985</v>
      </c>
    </row>
    <row r="30" spans="1:10" ht="12.75">
      <c r="A30" s="11" t="s">
        <v>134</v>
      </c>
      <c r="B30" s="367"/>
      <c r="C30" s="367">
        <f>Protein!G17</f>
        <v>1413922119.5958567</v>
      </c>
      <c r="D30" s="367"/>
      <c r="E30" s="367"/>
      <c r="F30" s="367"/>
      <c r="G30" s="367">
        <f>SUM(G26:G29)</f>
        <v>421.21248053061976</v>
      </c>
      <c r="H30" s="367">
        <f>SUM(H26:H29)</f>
        <v>848.3582941759596</v>
      </c>
      <c r="I30" s="11"/>
      <c r="J30" s="367">
        <f>SUM(J26:J29)</f>
        <v>1269.5707747065794</v>
      </c>
    </row>
    <row r="31" spans="1:10" ht="12.75">
      <c r="A31" s="4"/>
      <c r="B31" s="32"/>
      <c r="C31" s="32"/>
      <c r="D31" s="32"/>
      <c r="E31" s="32"/>
      <c r="F31" s="32"/>
      <c r="G31" s="32"/>
      <c r="H31" s="32"/>
      <c r="J31" s="32"/>
    </row>
    <row r="32" spans="1:10" ht="12.75">
      <c r="A32" t="s">
        <v>1063</v>
      </c>
      <c r="B32" s="14">
        <f>Poultry!B17+Poultry!B16</f>
        <v>166519</v>
      </c>
      <c r="C32" s="14">
        <f>Poultry!D16</f>
        <v>1850282</v>
      </c>
      <c r="D32" s="14"/>
      <c r="E32" s="14"/>
      <c r="F32" s="14"/>
      <c r="G32" s="49">
        <f>Poultry!S16</f>
        <v>0.9233944516696113</v>
      </c>
      <c r="H32" s="49">
        <f>Poultry!T16</f>
        <v>0.78668702919072</v>
      </c>
      <c r="J32" s="14">
        <f>SUM(G32:I32)</f>
        <v>1.7100814808603313</v>
      </c>
    </row>
    <row r="33" spans="1:10" ht="12.75">
      <c r="A33" t="s">
        <v>1064</v>
      </c>
      <c r="B33" s="14">
        <f>Poultry!B18</f>
        <v>17484320.880640544</v>
      </c>
      <c r="C33" s="14">
        <f>Poultry!D18</f>
        <v>244780492.32896763</v>
      </c>
      <c r="D33" s="14"/>
      <c r="E33" s="14"/>
      <c r="F33" s="14"/>
      <c r="G33" s="14">
        <f>Poultry!S18</f>
        <v>122.15918897418044</v>
      </c>
      <c r="H33" s="14">
        <f>Poultry!T18</f>
        <v>104.0736700211737</v>
      </c>
      <c r="J33" s="14">
        <f>SUM(G33:I33)</f>
        <v>226.23285899535415</v>
      </c>
    </row>
    <row r="34" spans="1:10" ht="12.75">
      <c r="A34" s="228" t="s">
        <v>134</v>
      </c>
      <c r="B34" s="367"/>
      <c r="C34" s="367">
        <f>Protein!G18</f>
        <v>246630774.32896763</v>
      </c>
      <c r="D34" s="367"/>
      <c r="E34" s="367"/>
      <c r="F34" s="367"/>
      <c r="G34" s="367">
        <f>SUM(G32:G33)</f>
        <v>123.08258342585005</v>
      </c>
      <c r="H34" s="367">
        <f>SUM(H32:H33)</f>
        <v>104.86035705036441</v>
      </c>
      <c r="I34" s="11"/>
      <c r="J34" s="367">
        <f>SUM(J32:J33)</f>
        <v>227.9429404762145</v>
      </c>
    </row>
    <row r="35" spans="1:10" ht="12.75">
      <c r="A35" s="4"/>
      <c r="B35" s="32"/>
      <c r="C35" s="32"/>
      <c r="D35" s="32"/>
      <c r="E35" s="32"/>
      <c r="F35" s="32"/>
      <c r="G35" s="32"/>
      <c r="H35" s="32"/>
      <c r="J35" s="32"/>
    </row>
    <row r="36" spans="1:10" ht="12.75">
      <c r="A36" s="188" t="s">
        <v>1091</v>
      </c>
      <c r="B36" s="32">
        <f>Horses!B5</f>
        <v>70918</v>
      </c>
      <c r="C36" s="884" t="s">
        <v>943</v>
      </c>
      <c r="E36" s="32"/>
      <c r="F36" s="264">
        <f>Horses!R5</f>
        <v>78.0098</v>
      </c>
      <c r="G36" s="32">
        <f>Horses!S5</f>
        <v>7.410555396507301</v>
      </c>
      <c r="H36">
        <v>0</v>
      </c>
      <c r="I36" s="32">
        <f>Horses!T5</f>
        <v>30.89402052832591</v>
      </c>
      <c r="J36" s="32">
        <f>SUM(F36:I36)</f>
        <v>116.31437592483321</v>
      </c>
    </row>
    <row r="37" spans="7:9" ht="13.5" thickBot="1">
      <c r="G37" s="13"/>
      <c r="H37" s="13"/>
      <c r="I37" s="13"/>
    </row>
    <row r="38" spans="1:10" ht="13.5" thickBot="1">
      <c r="A38" s="491" t="s">
        <v>134</v>
      </c>
      <c r="B38" s="445"/>
      <c r="C38" s="445"/>
      <c r="D38" s="445"/>
      <c r="E38" s="445"/>
      <c r="F38" s="837"/>
      <c r="G38" s="837">
        <f>G36+G34+G30+G24+G20+G16+G14+G10+G6</f>
        <v>1854.198678683098</v>
      </c>
      <c r="H38" s="837">
        <f>H36+H34+H30+H24+H20+H16+H14+H10+H6</f>
        <v>2165.3575556819255</v>
      </c>
      <c r="I38" s="837">
        <f>I36+I34+I30+I24+I20+I16+I14+I10+I6</f>
        <v>31.561301978571827</v>
      </c>
      <c r="J38" s="837">
        <f>J36+J34+J30+J24+J20+J16+J14+J10+J6</f>
        <v>2890.437984389213</v>
      </c>
    </row>
  </sheetData>
  <sheetProtection/>
  <mergeCells count="5">
    <mergeCell ref="D3:J3"/>
    <mergeCell ref="D4:F4"/>
    <mergeCell ref="D8:F8"/>
    <mergeCell ref="D12:F12"/>
    <mergeCell ref="D16:F16"/>
  </mergeCells>
  <printOptions/>
  <pageMargins left="0.7" right="0.7" top="0.75" bottom="0.75" header="0.3" footer="0.3"/>
  <pageSetup orientation="portrait"/>
  <legacyDrawing r:id="rId2"/>
</worksheet>
</file>

<file path=xl/worksheets/sheet19.xml><?xml version="1.0" encoding="utf-8"?>
<worksheet xmlns="http://schemas.openxmlformats.org/spreadsheetml/2006/main" xmlns:r="http://schemas.openxmlformats.org/officeDocument/2006/relationships">
  <dimension ref="A1:AC117"/>
  <sheetViews>
    <sheetView zoomScalePageLayoutView="0" workbookViewId="0" topLeftCell="A1">
      <selection activeCell="F43" sqref="E43:F43"/>
    </sheetView>
  </sheetViews>
  <sheetFormatPr defaultColWidth="11.421875" defaultRowHeight="12.75"/>
  <cols>
    <col min="1" max="1" width="31.421875" style="4" customWidth="1"/>
    <col min="2" max="2" width="13.7109375" style="4" customWidth="1"/>
    <col min="3" max="3" width="26.8515625" style="4" customWidth="1"/>
    <col min="4" max="4" width="18.421875" style="4" customWidth="1"/>
    <col min="5" max="5" width="17.421875" style="4" customWidth="1"/>
    <col min="6" max="6" width="15.28125" style="4" customWidth="1"/>
    <col min="7" max="7" width="10.421875" style="4" customWidth="1"/>
    <col min="8" max="8" width="8.00390625" style="4" customWidth="1"/>
    <col min="9" max="9" width="15.7109375" style="4" customWidth="1"/>
    <col min="10" max="10" width="7.7109375" style="4" customWidth="1"/>
    <col min="11" max="11" width="15.00390625" style="4" customWidth="1"/>
    <col min="12" max="16" width="9.140625" style="4" hidden="1" customWidth="1"/>
    <col min="17" max="17" width="7.140625" style="4" customWidth="1"/>
    <col min="18" max="22" width="9.140625" style="4" hidden="1" customWidth="1"/>
    <col min="23" max="23" width="6.8515625" style="4" customWidth="1"/>
    <col min="24" max="24" width="10.7109375" style="4" customWidth="1"/>
    <col min="25" max="25" width="10.140625" style="4" customWidth="1"/>
    <col min="26" max="26" width="8.421875" style="4" customWidth="1"/>
    <col min="27" max="27" width="8.7109375" style="4" customWidth="1"/>
    <col min="28" max="28" width="10.28125" style="4" bestFit="1" customWidth="1"/>
    <col min="29" max="16384" width="11.421875" style="4" customWidth="1"/>
  </cols>
  <sheetData>
    <row r="1" ht="15">
      <c r="A1" s="1053" t="s">
        <v>1132</v>
      </c>
    </row>
    <row r="2" spans="2:28" ht="12.75">
      <c r="B2" s="1421" t="s">
        <v>990</v>
      </c>
      <c r="C2" s="1417" t="s">
        <v>965</v>
      </c>
      <c r="D2" s="1418"/>
      <c r="E2" s="1422" t="s">
        <v>938</v>
      </c>
      <c r="F2" s="1422"/>
      <c r="G2" s="1422"/>
      <c r="H2" s="1422"/>
      <c r="I2" s="1422"/>
      <c r="J2" s="1422" t="s">
        <v>190</v>
      </c>
      <c r="K2" s="1422"/>
      <c r="L2" s="1422"/>
      <c r="M2" s="1422"/>
      <c r="N2" s="1422"/>
      <c r="O2" s="1422"/>
      <c r="P2" s="1422"/>
      <c r="Q2" s="1422"/>
      <c r="R2" s="1422"/>
      <c r="S2" s="1422"/>
      <c r="T2" s="1422"/>
      <c r="U2" s="1422"/>
      <c r="V2" s="1422"/>
      <c r="W2" s="1422"/>
      <c r="X2" s="1422" t="s">
        <v>550</v>
      </c>
      <c r="Y2" s="1422"/>
      <c r="Z2" s="1422"/>
      <c r="AA2" s="1422"/>
      <c r="AB2" s="1422"/>
    </row>
    <row r="3" spans="2:28" s="685" customFormat="1" ht="30" customHeight="1">
      <c r="B3" s="1421"/>
      <c r="C3" s="1419"/>
      <c r="D3" s="1420"/>
      <c r="E3" s="957" t="s">
        <v>932</v>
      </c>
      <c r="F3" s="958" t="s">
        <v>933</v>
      </c>
      <c r="G3" s="601" t="s">
        <v>140</v>
      </c>
      <c r="H3" s="746" t="s">
        <v>934</v>
      </c>
      <c r="I3" s="601" t="s">
        <v>937</v>
      </c>
      <c r="J3" s="1015" t="s">
        <v>940</v>
      </c>
      <c r="K3" s="1208" t="s">
        <v>941</v>
      </c>
      <c r="L3" s="1262" t="s">
        <v>140</v>
      </c>
      <c r="M3" s="1262"/>
      <c r="N3" s="1262"/>
      <c r="O3" s="1262"/>
      <c r="P3" s="1262"/>
      <c r="Q3" s="1262"/>
      <c r="R3" s="1260" t="s">
        <v>465</v>
      </c>
      <c r="S3" s="1423"/>
      <c r="T3" s="1423"/>
      <c r="U3" s="1423"/>
      <c r="V3" s="1423"/>
      <c r="W3" s="1344"/>
      <c r="X3" s="463" t="s">
        <v>932</v>
      </c>
      <c r="Y3" s="463" t="s">
        <v>933</v>
      </c>
      <c r="Z3" s="463" t="s">
        <v>140</v>
      </c>
      <c r="AA3" s="375" t="s">
        <v>465</v>
      </c>
      <c r="AB3" s="755" t="s">
        <v>134</v>
      </c>
    </row>
    <row r="4" spans="2:28" ht="12.75" hidden="1">
      <c r="B4" s="601"/>
      <c r="E4" s="750"/>
      <c r="F4" s="745"/>
      <c r="G4" s="173"/>
      <c r="H4" s="751"/>
      <c r="I4" s="173"/>
      <c r="J4" s="754" t="s">
        <v>939</v>
      </c>
      <c r="K4" s="754" t="s">
        <v>939</v>
      </c>
      <c r="L4" s="746">
        <v>1999</v>
      </c>
      <c r="M4" s="752">
        <v>2000</v>
      </c>
      <c r="N4" s="752">
        <v>2001</v>
      </c>
      <c r="O4" s="752">
        <v>2002</v>
      </c>
      <c r="P4" s="747">
        <v>2003</v>
      </c>
      <c r="Q4" s="754" t="s">
        <v>939</v>
      </c>
      <c r="R4" s="746">
        <v>1999</v>
      </c>
      <c r="S4" s="752">
        <v>2000</v>
      </c>
      <c r="T4" s="752">
        <v>2001</v>
      </c>
      <c r="U4" s="752">
        <v>2002</v>
      </c>
      <c r="V4" s="747">
        <v>2003</v>
      </c>
      <c r="W4" s="754" t="s">
        <v>939</v>
      </c>
      <c r="X4" s="463"/>
      <c r="Y4" s="463"/>
      <c r="Z4" s="463"/>
      <c r="AA4" s="463"/>
      <c r="AB4" s="173"/>
    </row>
    <row r="5" spans="1:28" ht="12.75">
      <c r="A5" s="8" t="s">
        <v>989</v>
      </c>
      <c r="B5" s="371" t="s">
        <v>585</v>
      </c>
      <c r="C5" s="747" t="s">
        <v>987</v>
      </c>
      <c r="D5" s="956" t="s">
        <v>988</v>
      </c>
      <c r="E5" s="1351" t="s">
        <v>983</v>
      </c>
      <c r="F5" s="1351"/>
      <c r="G5" s="1405" t="s">
        <v>982</v>
      </c>
      <c r="H5" s="1405"/>
      <c r="I5" s="1406"/>
      <c r="J5" s="1016" t="s">
        <v>984</v>
      </c>
      <c r="K5" s="1016"/>
      <c r="L5" s="872"/>
      <c r="M5" s="872"/>
      <c r="N5" s="872"/>
      <c r="O5" s="872"/>
      <c r="P5" s="872"/>
      <c r="Q5" s="1415" t="s">
        <v>170</v>
      </c>
      <c r="R5" s="1415"/>
      <c r="S5" s="1415"/>
      <c r="T5" s="1415"/>
      <c r="U5" s="1415"/>
      <c r="V5" s="1415"/>
      <c r="W5" s="1416"/>
      <c r="X5" s="1409" t="s">
        <v>942</v>
      </c>
      <c r="Y5" s="1409"/>
      <c r="Z5" s="1409"/>
      <c r="AA5" s="1409"/>
      <c r="AB5" s="1409"/>
    </row>
    <row r="6" spans="1:29" ht="12.75">
      <c r="A6" s="13" t="s">
        <v>1038</v>
      </c>
      <c r="B6" s="959">
        <f>218.7*1000</f>
        <v>218700</v>
      </c>
      <c r="C6" s="14">
        <v>4037769000</v>
      </c>
      <c r="D6" s="962">
        <v>18466</v>
      </c>
      <c r="E6" s="15">
        <f>29.8/(1-0.1925)</f>
        <v>36.90402476780186</v>
      </c>
      <c r="F6" s="15">
        <f>54.3/(1-0.1925)</f>
        <v>67.24458204334366</v>
      </c>
      <c r="G6" s="15">
        <v>12.1</v>
      </c>
      <c r="H6" s="15">
        <v>8.8</v>
      </c>
      <c r="I6" s="596"/>
      <c r="J6" s="15">
        <f>4076*0.87</f>
        <v>3546.12</v>
      </c>
      <c r="K6" s="14">
        <f>3580*0.87</f>
        <v>3114.6</v>
      </c>
      <c r="L6" s="15">
        <v>6384</v>
      </c>
      <c r="M6" s="15">
        <v>5656</v>
      </c>
      <c r="N6" s="42">
        <v>5488</v>
      </c>
      <c r="O6" s="42">
        <v>5880</v>
      </c>
      <c r="P6" s="15">
        <v>5432</v>
      </c>
      <c r="Q6" s="15">
        <f>Grain!I10</f>
        <v>8383.199999999999</v>
      </c>
      <c r="R6" s="15">
        <v>2460</v>
      </c>
      <c r="S6" s="15">
        <v>2220</v>
      </c>
      <c r="T6" s="42">
        <v>1980</v>
      </c>
      <c r="U6" s="42">
        <v>1980</v>
      </c>
      <c r="V6" s="15">
        <v>1920</v>
      </c>
      <c r="W6" s="15">
        <f>OilsY!G7*(48/60)</f>
        <v>2005.4400000000003</v>
      </c>
      <c r="X6" s="15">
        <f>((C6/100)*E6)/J6/1000</f>
        <v>420.20554065475096</v>
      </c>
      <c r="Y6" s="15">
        <f>((C6/100)*F6)/K6/1000</f>
        <v>871.7590984157507</v>
      </c>
      <c r="Z6" s="15">
        <f>((C6/100)*G6)/Q6/1000</f>
        <v>58.279660392213</v>
      </c>
      <c r="AA6" s="15">
        <f>((C6/100)*H6)/W6/1000</f>
        <v>177.17990665390136</v>
      </c>
      <c r="AB6" s="15">
        <f>SUM(X6:AA6)</f>
        <v>1527.4242061166158</v>
      </c>
      <c r="AC6" s="961" t="s">
        <v>1373</v>
      </c>
    </row>
    <row r="7" spans="1:29" ht="12.75">
      <c r="A7" s="13" t="s">
        <v>991</v>
      </c>
      <c r="B7" s="14">
        <f>C7/D7</f>
        <v>138760.73178827149</v>
      </c>
      <c r="C7" s="14">
        <f>Dairy!C9-C6</f>
        <v>2861593191.303629</v>
      </c>
      <c r="D7" s="17">
        <f>56.5*365</f>
        <v>20622.5</v>
      </c>
      <c r="E7" s="14">
        <f>29.8/(1-0.1925)</f>
        <v>36.90402476780186</v>
      </c>
      <c r="F7" s="14">
        <f>54.3/(1-0.1925)</f>
        <v>67.24458204334366</v>
      </c>
      <c r="G7" s="14">
        <v>12.1</v>
      </c>
      <c r="H7" s="14">
        <v>8.8</v>
      </c>
      <c r="I7" s="14"/>
      <c r="J7" s="15">
        <v>4263</v>
      </c>
      <c r="K7" s="14">
        <v>3358</v>
      </c>
      <c r="L7" s="14">
        <v>6384</v>
      </c>
      <c r="M7" s="14">
        <v>5656</v>
      </c>
      <c r="N7" s="264">
        <v>5488</v>
      </c>
      <c r="O7" s="264">
        <v>5880</v>
      </c>
      <c r="P7" s="14">
        <v>5432</v>
      </c>
      <c r="Q7" s="14">
        <f>Grain!I10</f>
        <v>8383.199999999999</v>
      </c>
      <c r="R7" s="14">
        <v>2460</v>
      </c>
      <c r="S7" s="14">
        <v>2220</v>
      </c>
      <c r="T7" s="264">
        <v>1980</v>
      </c>
      <c r="U7" s="264">
        <v>1980</v>
      </c>
      <c r="V7" s="14">
        <v>1920</v>
      </c>
      <c r="W7" s="14">
        <f>OilsY!G7*(48/60)</f>
        <v>2005.4400000000003</v>
      </c>
      <c r="X7" s="14">
        <f>((C7/100)*E7)/J7/1000</f>
        <v>247.72297913967228</v>
      </c>
      <c r="Y7" s="14">
        <f>((C7/100)*F7)/K7/1000</f>
        <v>573.0394226542302</v>
      </c>
      <c r="Z7" s="14">
        <f>((C7/100)*G7)/Q7/1000</f>
        <v>41.30317493889436</v>
      </c>
      <c r="AA7" s="14">
        <f>((C7/100)*H7)/W7/1000</f>
        <v>125.568553950614</v>
      </c>
      <c r="AB7" s="14">
        <f>SUM(X7:AA7)</f>
        <v>987.6341306834108</v>
      </c>
      <c r="AC7" t="s">
        <v>1136</v>
      </c>
    </row>
    <row r="8" spans="1:28" ht="12.75">
      <c r="A8" s="960" t="s">
        <v>134</v>
      </c>
      <c r="B8" s="367">
        <f>SUM(B6:B7)</f>
        <v>357460.73178827146</v>
      </c>
      <c r="C8" s="367">
        <f>SUM(C6:C7)</f>
        <v>6899362191.303629</v>
      </c>
      <c r="D8" s="367"/>
      <c r="E8" s="367"/>
      <c r="F8" s="367"/>
      <c r="G8" s="367"/>
      <c r="H8" s="367"/>
      <c r="I8" s="367"/>
      <c r="J8" s="367"/>
      <c r="K8" s="367"/>
      <c r="L8" s="367"/>
      <c r="M8" s="367"/>
      <c r="N8" s="1011"/>
      <c r="O8" s="1011"/>
      <c r="P8" s="367"/>
      <c r="Q8" s="367"/>
      <c r="R8" s="367"/>
      <c r="S8" s="367"/>
      <c r="T8" s="1011"/>
      <c r="U8" s="1011"/>
      <c r="V8" s="367"/>
      <c r="W8" s="367"/>
      <c r="X8" s="367">
        <f>SUM(X6:X7)</f>
        <v>667.9285197944232</v>
      </c>
      <c r="Y8" s="367">
        <f>SUM(Y6:Y7)</f>
        <v>1444.7985210699808</v>
      </c>
      <c r="Z8" s="367">
        <f>SUM(Z6:Z7)</f>
        <v>99.58283533110736</v>
      </c>
      <c r="AA8" s="367">
        <f>SUM(AA6:AA7)</f>
        <v>302.74846060451534</v>
      </c>
      <c r="AB8" s="367">
        <f>SUM(AB6:AB7)</f>
        <v>2515.0583368000266</v>
      </c>
    </row>
    <row r="9" spans="1:28" ht="12.75">
      <c r="A9" s="19"/>
      <c r="B9" s="32"/>
      <c r="C9" s="32"/>
      <c r="D9" s="24"/>
      <c r="E9" s="32"/>
      <c r="F9" s="32"/>
      <c r="G9" s="32"/>
      <c r="H9" s="32"/>
      <c r="I9" s="32"/>
      <c r="J9" s="32"/>
      <c r="K9" s="32"/>
      <c r="L9" s="32"/>
      <c r="M9" s="32"/>
      <c r="N9" s="264"/>
      <c r="O9" s="264"/>
      <c r="P9" s="32"/>
      <c r="Q9" s="32"/>
      <c r="R9" s="32"/>
      <c r="S9" s="32"/>
      <c r="T9" s="264"/>
      <c r="U9" s="264"/>
      <c r="V9" s="32"/>
      <c r="W9" s="32"/>
      <c r="X9" s="32"/>
      <c r="Y9" s="32"/>
      <c r="Z9" s="32"/>
      <c r="AA9" s="32"/>
      <c r="AB9" s="32"/>
    </row>
    <row r="10" spans="1:28" ht="25.5" customHeight="1">
      <c r="A10" s="986"/>
      <c r="B10" s="963"/>
      <c r="C10" s="1010" t="s">
        <v>1023</v>
      </c>
      <c r="D10" s="985"/>
      <c r="E10" s="601" t="s">
        <v>2</v>
      </c>
      <c r="F10" s="601" t="s">
        <v>936</v>
      </c>
      <c r="G10" s="601" t="s">
        <v>935</v>
      </c>
      <c r="H10" s="601" t="s">
        <v>465</v>
      </c>
      <c r="I10" s="601" t="s">
        <v>937</v>
      </c>
      <c r="J10" s="601" t="s">
        <v>2</v>
      </c>
      <c r="K10" s="601" t="s">
        <v>936</v>
      </c>
      <c r="L10" s="601"/>
      <c r="M10" s="977"/>
      <c r="N10" s="601"/>
      <c r="O10" s="977"/>
      <c r="P10" s="977"/>
      <c r="Q10" s="601" t="s">
        <v>935</v>
      </c>
      <c r="R10" s="601"/>
      <c r="S10" s="977"/>
      <c r="T10" s="977"/>
      <c r="U10" s="977"/>
      <c r="V10" s="977"/>
      <c r="W10" s="601" t="s">
        <v>465</v>
      </c>
      <c r="X10" s="371" t="s">
        <v>2</v>
      </c>
      <c r="Y10" s="601" t="s">
        <v>936</v>
      </c>
      <c r="Z10" s="601" t="s">
        <v>935</v>
      </c>
      <c r="AA10" s="601" t="s">
        <v>465</v>
      </c>
      <c r="AB10" s="755" t="s">
        <v>134</v>
      </c>
    </row>
    <row r="11" spans="1:28" ht="12.75">
      <c r="A11" s="188" t="s">
        <v>1039</v>
      </c>
      <c r="B11" s="32">
        <v>39720.00000000001</v>
      </c>
      <c r="C11" s="14"/>
      <c r="D11" s="14"/>
      <c r="E11" s="49">
        <v>2.1</v>
      </c>
      <c r="F11" s="14">
        <v>2821</v>
      </c>
      <c r="G11" s="14">
        <v>341</v>
      </c>
      <c r="H11" s="14"/>
      <c r="I11" s="15">
        <v>155</v>
      </c>
      <c r="J11" s="856" t="s">
        <v>943</v>
      </c>
      <c r="K11" s="5">
        <f>3640*0.87</f>
        <v>3166.8</v>
      </c>
      <c r="Q11" s="5">
        <f>Grain!I10</f>
        <v>8383.199999999999</v>
      </c>
      <c r="W11" s="5">
        <f>OilsY!G7*(48/60)</f>
        <v>2005.4400000000003</v>
      </c>
      <c r="X11" s="390">
        <f>B11*E11/1000</f>
        <v>83.41200000000002</v>
      </c>
      <c r="Y11" s="32">
        <f>(B11*F11)/K11/1000</f>
        <v>35.38275862068966</v>
      </c>
      <c r="Z11" s="14">
        <f>(G11*B11)/Q11/1000</f>
        <v>1.6156742055539655</v>
      </c>
      <c r="AA11" s="14"/>
      <c r="AB11" s="234">
        <f>SUM(X11:AA11)</f>
        <v>120.41043282624365</v>
      </c>
    </row>
    <row r="12" spans="1:28" ht="12.75">
      <c r="A12" s="188" t="s">
        <v>1040</v>
      </c>
      <c r="B12" s="32">
        <v>84660</v>
      </c>
      <c r="C12" s="14"/>
      <c r="D12" s="14"/>
      <c r="E12" s="14"/>
      <c r="F12" s="14"/>
      <c r="G12" s="14"/>
      <c r="H12" s="14"/>
      <c r="I12" s="15"/>
      <c r="J12" s="67"/>
      <c r="K12" s="14"/>
      <c r="L12" s="14"/>
      <c r="M12" s="14"/>
      <c r="N12" s="264"/>
      <c r="O12" s="264"/>
      <c r="P12" s="14"/>
      <c r="Q12" s="14"/>
      <c r="R12" s="14"/>
      <c r="S12" s="14"/>
      <c r="T12" s="264"/>
      <c r="U12" s="264"/>
      <c r="V12" s="14"/>
      <c r="W12" s="14"/>
      <c r="X12" s="67"/>
      <c r="Y12" s="14"/>
      <c r="Z12" s="14"/>
      <c r="AA12" s="14"/>
      <c r="AB12" s="14"/>
    </row>
    <row r="13" spans="1:28" ht="12.75">
      <c r="A13" s="829" t="s">
        <v>1024</v>
      </c>
      <c r="B13" s="32">
        <v>16259.999999999998</v>
      </c>
      <c r="C13" s="14">
        <f>16899400*0.63</f>
        <v>10646622</v>
      </c>
      <c r="D13" s="14"/>
      <c r="E13" s="978">
        <v>2.1</v>
      </c>
      <c r="F13" s="14">
        <f>5371/(1-0.1925)</f>
        <v>6651.393188854489</v>
      </c>
      <c r="G13" s="14">
        <v>3641</v>
      </c>
      <c r="H13">
        <v>150</v>
      </c>
      <c r="I13" s="4">
        <v>305</v>
      </c>
      <c r="J13" s="756" t="s">
        <v>943</v>
      </c>
      <c r="K13" s="5">
        <f>3640*0.87</f>
        <v>3166.8</v>
      </c>
      <c r="Q13" s="5">
        <f>Grain!I10</f>
        <v>8383.199999999999</v>
      </c>
      <c r="W13" s="5">
        <f>OilsY!G7*(48/60)</f>
        <v>2005.4400000000003</v>
      </c>
      <c r="X13" s="67">
        <f>B13*E13/1000</f>
        <v>34.146</v>
      </c>
      <c r="Y13" s="32">
        <f>(B13*F13)/K13/1000</f>
        <v>34.15171569116268</v>
      </c>
      <c r="Z13" s="14">
        <f>(G13*B13)/Q13/1000</f>
        <v>7.062059833953622</v>
      </c>
      <c r="AA13" s="14">
        <f>(B13*H13)/W13/1000</f>
        <v>1.2161919578745808</v>
      </c>
      <c r="AB13" s="234">
        <f>SUM(X13:AA13)</f>
        <v>76.57596748299089</v>
      </c>
    </row>
    <row r="14" spans="1:28" ht="12.75">
      <c r="A14" s="829" t="s">
        <v>1037</v>
      </c>
      <c r="B14" s="32">
        <f>B12-B13</f>
        <v>68400</v>
      </c>
      <c r="C14" s="14">
        <f>C18-C13-C16-C17</f>
        <v>41056596</v>
      </c>
      <c r="D14" s="14"/>
      <c r="E14" s="14"/>
      <c r="F14" s="14"/>
      <c r="G14" s="14"/>
      <c r="H14" s="14"/>
      <c r="I14" s="15"/>
      <c r="J14" s="67"/>
      <c r="K14" s="14"/>
      <c r="L14" s="14"/>
      <c r="M14" s="14"/>
      <c r="N14" s="264"/>
      <c r="O14" s="264"/>
      <c r="P14" s="14"/>
      <c r="Q14" s="14"/>
      <c r="R14" s="14"/>
      <c r="S14" s="14"/>
      <c r="T14" s="264"/>
      <c r="U14" s="264"/>
      <c r="V14" s="14"/>
      <c r="W14" s="14"/>
      <c r="X14" s="67"/>
      <c r="Y14" s="14"/>
      <c r="Z14" s="14"/>
      <c r="AA14" s="14"/>
      <c r="AB14" s="14"/>
    </row>
    <row r="15" spans="1:28" ht="12.75">
      <c r="A15" s="188" t="s">
        <v>1041</v>
      </c>
      <c r="B15" s="32">
        <v>112520.00000000001</v>
      </c>
      <c r="D15" s="14"/>
      <c r="E15" s="14"/>
      <c r="F15" s="14"/>
      <c r="G15" s="14"/>
      <c r="H15" s="14"/>
      <c r="I15" s="15"/>
      <c r="J15" s="67"/>
      <c r="K15" s="14"/>
      <c r="L15" s="14"/>
      <c r="M15" s="14"/>
      <c r="N15" s="264"/>
      <c r="O15" s="264"/>
      <c r="P15" s="14"/>
      <c r="Q15" s="14"/>
      <c r="R15" s="14"/>
      <c r="S15" s="14"/>
      <c r="T15" s="264"/>
      <c r="U15" s="264"/>
      <c r="V15" s="14"/>
      <c r="W15" s="14"/>
      <c r="X15" s="67"/>
      <c r="Y15" s="14"/>
      <c r="Z15" s="14"/>
      <c r="AA15" s="14"/>
      <c r="AB15" s="14"/>
    </row>
    <row r="16" spans="1:28" ht="12.75">
      <c r="A16" s="829" t="s">
        <v>1025</v>
      </c>
      <c r="B16" s="14">
        <v>12675</v>
      </c>
      <c r="C16" s="14">
        <f>1506000*0.63</f>
        <v>948780</v>
      </c>
      <c r="D16" s="14"/>
      <c r="E16" s="1414" t="s">
        <v>1026</v>
      </c>
      <c r="F16" s="1414"/>
      <c r="G16" s="1414"/>
      <c r="H16" s="1414"/>
      <c r="I16" s="1414"/>
      <c r="J16" s="756"/>
      <c r="K16" s="5"/>
      <c r="Q16" s="5"/>
      <c r="W16" s="5"/>
      <c r="X16" s="67"/>
      <c r="Y16" s="32"/>
      <c r="Z16" s="14"/>
      <c r="AA16" s="14"/>
      <c r="AB16" s="234"/>
    </row>
    <row r="17" spans="1:28" ht="12.75">
      <c r="A17" s="829" t="s">
        <v>1034</v>
      </c>
      <c r="B17" s="32">
        <f>B15-B16</f>
        <v>99845.00000000001</v>
      </c>
      <c r="C17" s="14">
        <f>B17*200*0.63</f>
        <v>12580470.000000002</v>
      </c>
      <c r="D17" s="14"/>
      <c r="E17" s="49"/>
      <c r="F17" s="14"/>
      <c r="G17" s="14"/>
      <c r="H17" s="14"/>
      <c r="I17" s="15"/>
      <c r="J17" s="756"/>
      <c r="K17" s="5"/>
      <c r="Q17" s="5"/>
      <c r="W17" s="5"/>
      <c r="X17" s="67"/>
      <c r="Y17" s="32"/>
      <c r="Z17" s="14"/>
      <c r="AA17" s="14"/>
      <c r="AB17" s="234"/>
    </row>
    <row r="18" spans="1:28" ht="12.75">
      <c r="A18" s="188" t="s">
        <v>1042</v>
      </c>
      <c r="B18" s="925"/>
      <c r="C18" s="14">
        <f>103543600*0.63</f>
        <v>65232468</v>
      </c>
      <c r="D18" s="14"/>
      <c r="E18" s="14"/>
      <c r="F18" s="14"/>
      <c r="G18" s="14"/>
      <c r="H18" s="14"/>
      <c r="I18" s="15"/>
      <c r="J18" s="67"/>
      <c r="K18" s="14"/>
      <c r="L18" s="14"/>
      <c r="M18" s="14"/>
      <c r="N18" s="264"/>
      <c r="O18" s="264"/>
      <c r="P18" s="14"/>
      <c r="Q18" s="14"/>
      <c r="R18" s="14"/>
      <c r="S18" s="14"/>
      <c r="T18" s="264"/>
      <c r="U18" s="264"/>
      <c r="V18" s="14"/>
      <c r="W18" s="14"/>
      <c r="X18" s="67"/>
      <c r="Y18" s="14"/>
      <c r="Z18" s="14"/>
      <c r="AA18" s="14"/>
      <c r="AB18" s="14"/>
    </row>
    <row r="19" spans="1:29" ht="12.75">
      <c r="A19" s="188" t="s">
        <v>1018</v>
      </c>
      <c r="B19" s="32">
        <f>C19/(1300*0.63)</f>
        <v>1513492.0984616198</v>
      </c>
      <c r="C19" s="14">
        <f>Protein!G13-C18</f>
        <v>1239550028.6400666</v>
      </c>
      <c r="D19" s="14"/>
      <c r="E19" s="978">
        <v>2.1</v>
      </c>
      <c r="F19" s="14">
        <f>5371/(1-0.1925)</f>
        <v>6651.393188854489</v>
      </c>
      <c r="G19" s="14">
        <v>3641</v>
      </c>
      <c r="H19">
        <v>150</v>
      </c>
      <c r="I19" s="4">
        <v>305</v>
      </c>
      <c r="J19" s="756" t="s">
        <v>943</v>
      </c>
      <c r="K19" s="5">
        <f>3640*0.87</f>
        <v>3166.8</v>
      </c>
      <c r="Q19" s="5">
        <f>Grain!I10</f>
        <v>8383.199999999999</v>
      </c>
      <c r="W19" s="5">
        <f>OilsY!G7*(48/60)</f>
        <v>2005.4400000000003</v>
      </c>
      <c r="X19" s="67">
        <f>B19*E19/1000</f>
        <v>3178.333406769402</v>
      </c>
      <c r="Y19" s="32">
        <f>(B19*F19)/K19/1000</f>
        <v>3178.8654272744434</v>
      </c>
      <c r="Z19" s="14">
        <f>(G19*B19)/Q19/1000</f>
        <v>657.3414365038122</v>
      </c>
      <c r="AA19" s="14">
        <f>(B19*H19)/W19/1000</f>
        <v>113.2039925249536</v>
      </c>
      <c r="AB19" s="234">
        <f>SUM(X19:AA19)</f>
        <v>7127.744263072612</v>
      </c>
      <c r="AC19" s="875" t="s">
        <v>1137</v>
      </c>
    </row>
    <row r="20" spans="1:28" ht="12.75">
      <c r="A20" s="275" t="s">
        <v>134</v>
      </c>
      <c r="B20" s="367"/>
      <c r="C20" s="367">
        <f>C19+C18</f>
        <v>1304782496.6400666</v>
      </c>
      <c r="D20" s="367"/>
      <c r="E20" s="1012"/>
      <c r="F20" s="367"/>
      <c r="G20" s="367"/>
      <c r="H20" s="11"/>
      <c r="I20" s="11"/>
      <c r="J20" s="1013"/>
      <c r="K20" s="855"/>
      <c r="L20" s="11"/>
      <c r="M20" s="11"/>
      <c r="N20" s="11"/>
      <c r="O20" s="11"/>
      <c r="P20" s="11"/>
      <c r="Q20" s="855"/>
      <c r="R20" s="11"/>
      <c r="S20" s="11"/>
      <c r="T20" s="11"/>
      <c r="U20" s="11"/>
      <c r="V20" s="11"/>
      <c r="W20" s="855"/>
      <c r="X20" s="367">
        <f>SUM(X11:X19)</f>
        <v>3295.891406769402</v>
      </c>
      <c r="Y20" s="367">
        <f>SUM(Y11:Y19)</f>
        <v>3248.3999015862955</v>
      </c>
      <c r="Z20" s="367">
        <f>SUM(Z11:Z19)</f>
        <v>666.0191705433199</v>
      </c>
      <c r="AA20" s="367">
        <f>SUM(AA11:AA19)</f>
        <v>114.42018448282819</v>
      </c>
      <c r="AB20" s="367">
        <f>SUM(AB11:AB19)</f>
        <v>7324.730663381846</v>
      </c>
    </row>
    <row r="21" spans="1:28" ht="12.75">
      <c r="A21" s="188"/>
      <c r="B21" s="32"/>
      <c r="C21" s="14"/>
      <c r="D21" s="14"/>
      <c r="E21" s="14"/>
      <c r="F21" s="14"/>
      <c r="G21" s="14"/>
      <c r="H21" s="14"/>
      <c r="I21" s="14"/>
      <c r="J21" s="14"/>
      <c r="K21" s="14"/>
      <c r="L21" s="14"/>
      <c r="M21" s="14"/>
      <c r="N21" s="264"/>
      <c r="O21" s="264"/>
      <c r="P21" s="14"/>
      <c r="Q21" s="14"/>
      <c r="R21" s="14"/>
      <c r="S21" s="14"/>
      <c r="T21" s="264"/>
      <c r="U21" s="264"/>
      <c r="V21" s="14"/>
      <c r="W21" s="14"/>
      <c r="X21" s="14"/>
      <c r="Y21" s="14"/>
      <c r="Z21" s="14"/>
      <c r="AA21" s="14"/>
      <c r="AB21" s="14"/>
    </row>
    <row r="22" spans="1:28" ht="12.75">
      <c r="A22" s="982" t="s">
        <v>1016</v>
      </c>
      <c r="B22" s="999" t="s">
        <v>1033</v>
      </c>
      <c r="C22" s="983" t="s">
        <v>1031</v>
      </c>
      <c r="D22" s="999" t="s">
        <v>1033</v>
      </c>
      <c r="E22" s="46"/>
      <c r="G22" s="14"/>
      <c r="H22" s="14"/>
      <c r="I22" s="14"/>
      <c r="J22" s="14"/>
      <c r="K22" s="14"/>
      <c r="L22" s="14"/>
      <c r="M22" s="14"/>
      <c r="N22" s="264"/>
      <c r="O22" s="264"/>
      <c r="P22" s="14"/>
      <c r="Q22" s="14"/>
      <c r="R22" s="14"/>
      <c r="S22" s="14"/>
      <c r="T22" s="264"/>
      <c r="U22" s="264"/>
      <c r="V22" s="14"/>
      <c r="W22" s="14"/>
      <c r="X22" s="14"/>
      <c r="Y22" s="14"/>
      <c r="Z22" s="14"/>
      <c r="AA22" s="14"/>
      <c r="AB22" s="14"/>
    </row>
    <row r="23" spans="1:28" ht="12.75">
      <c r="A23" s="980" t="s">
        <v>2</v>
      </c>
      <c r="B23" s="1225">
        <f>B24+B25</f>
        <v>117.55800000000002</v>
      </c>
      <c r="C23" s="980" t="s">
        <v>1015</v>
      </c>
      <c r="D23" s="1226">
        <f>132+320</f>
        <v>452</v>
      </c>
      <c r="E23" s="33"/>
      <c r="G23" s="14"/>
      <c r="H23" s="14"/>
      <c r="I23" s="14"/>
      <c r="J23" s="14"/>
      <c r="K23" s="14"/>
      <c r="L23" s="14"/>
      <c r="M23" s="14"/>
      <c r="N23" s="14"/>
      <c r="O23" s="14"/>
      <c r="P23" s="14"/>
      <c r="Q23" s="14"/>
      <c r="R23" s="14"/>
      <c r="S23" s="14"/>
      <c r="T23" s="14"/>
      <c r="U23" s="14"/>
      <c r="V23" s="14"/>
      <c r="W23" s="14"/>
      <c r="X23" s="14"/>
      <c r="Y23" s="14"/>
      <c r="Z23" s="14"/>
      <c r="AA23" s="14"/>
      <c r="AB23" s="14"/>
    </row>
    <row r="24" spans="1:28" ht="12.75">
      <c r="A24" s="997" t="s">
        <v>1027</v>
      </c>
      <c r="B24" s="1225">
        <f>(X11+X13)</f>
        <v>117.55800000000002</v>
      </c>
      <c r="C24" s="997" t="s">
        <v>1027</v>
      </c>
      <c r="D24" s="1226">
        <f>B24</f>
        <v>117.55800000000002</v>
      </c>
      <c r="E24" s="33"/>
      <c r="G24" s="14"/>
      <c r="H24" s="14"/>
      <c r="I24" s="14"/>
      <c r="J24" s="14"/>
      <c r="K24" s="14"/>
      <c r="L24" s="14"/>
      <c r="M24" s="14"/>
      <c r="N24" s="14"/>
      <c r="O24" s="14"/>
      <c r="P24" s="14"/>
      <c r="Q24" s="14"/>
      <c r="R24" s="14"/>
      <c r="S24" s="14"/>
      <c r="T24" s="14"/>
      <c r="U24" s="14"/>
      <c r="V24" s="14"/>
      <c r="W24" s="14"/>
      <c r="X24" s="14"/>
      <c r="Y24" s="14"/>
      <c r="Z24" s="14"/>
      <c r="AA24" s="14"/>
      <c r="AB24" s="14"/>
    </row>
    <row r="25" spans="1:28" ht="12.75">
      <c r="A25" s="997" t="s">
        <v>1028</v>
      </c>
      <c r="B25" s="1225">
        <v>0</v>
      </c>
      <c r="C25" s="997" t="s">
        <v>1028</v>
      </c>
      <c r="D25" s="1226">
        <f>D23-D24</f>
        <v>334.442</v>
      </c>
      <c r="E25" s="33"/>
      <c r="G25" s="14"/>
      <c r="H25" s="14"/>
      <c r="I25" s="14"/>
      <c r="J25" s="14"/>
      <c r="K25" s="14"/>
      <c r="L25" s="14"/>
      <c r="M25" s="14"/>
      <c r="N25" s="14"/>
      <c r="O25" s="14"/>
      <c r="P25" s="14"/>
      <c r="Q25" s="14"/>
      <c r="R25" s="14"/>
      <c r="S25" s="14"/>
      <c r="T25" s="14"/>
      <c r="U25" s="14"/>
      <c r="V25" s="14"/>
      <c r="W25" s="14"/>
      <c r="X25" s="14"/>
      <c r="Y25" s="14"/>
      <c r="Z25" s="14"/>
      <c r="AA25" s="14"/>
      <c r="AB25" s="14"/>
    </row>
    <row r="26" spans="1:26" ht="12.75">
      <c r="A26" s="981" t="s">
        <v>1014</v>
      </c>
      <c r="B26" s="1224">
        <f>B27+B29</f>
        <v>1361.499113382354</v>
      </c>
      <c r="C26" s="980" t="s">
        <v>1051</v>
      </c>
      <c r="D26" s="1227">
        <f>790+163.5</f>
        <v>953.5</v>
      </c>
      <c r="E26" s="33"/>
      <c r="Y26" s="188"/>
      <c r="Z26" s="6"/>
    </row>
    <row r="27" spans="1:26" ht="12.75">
      <c r="A27" s="998" t="s">
        <v>1029</v>
      </c>
      <c r="B27" s="1225">
        <f>(Y11+Y13)</f>
        <v>69.53447431185234</v>
      </c>
      <c r="C27" s="997" t="s">
        <v>1029</v>
      </c>
      <c r="D27" s="1228">
        <f>B27</f>
        <v>69.53447431185234</v>
      </c>
      <c r="E27" s="305"/>
      <c r="Y27" s="188"/>
      <c r="Z27" s="6"/>
    </row>
    <row r="28" spans="1:26" ht="12.75">
      <c r="A28" s="998" t="s">
        <v>1032</v>
      </c>
      <c r="B28" s="1225">
        <v>0</v>
      </c>
      <c r="C28" s="997" t="s">
        <v>1032</v>
      </c>
      <c r="D28" s="1226">
        <f>790-D27-D31-D32</f>
        <v>620.7894377252503</v>
      </c>
      <c r="E28" s="178"/>
      <c r="Y28" s="188"/>
      <c r="Z28" s="6"/>
    </row>
    <row r="29" spans="1:26" ht="12.75">
      <c r="A29" s="997" t="s">
        <v>1030</v>
      </c>
      <c r="B29" s="1225">
        <f>(X6)+(Y6)</f>
        <v>1291.9646390705016</v>
      </c>
      <c r="C29" s="997" t="s">
        <v>1030</v>
      </c>
      <c r="D29" s="1226">
        <v>165</v>
      </c>
      <c r="E29" s="33"/>
      <c r="Y29" s="188"/>
      <c r="Z29" s="6"/>
    </row>
    <row r="30" spans="1:26" ht="12.75">
      <c r="A30" s="997" t="s">
        <v>1052</v>
      </c>
      <c r="B30" s="1225">
        <v>0</v>
      </c>
      <c r="C30" s="998" t="s">
        <v>1052</v>
      </c>
      <c r="D30" s="1226">
        <v>163.5</v>
      </c>
      <c r="E30" s="33"/>
      <c r="Y30" s="188"/>
      <c r="Z30" s="6"/>
    </row>
    <row r="31" spans="1:28" ht="12.75">
      <c r="A31" s="998" t="s">
        <v>1128</v>
      </c>
      <c r="B31" s="1225">
        <f>Sheep!Y13+Goats!Z9</f>
        <v>21.666287962897236</v>
      </c>
      <c r="C31" s="997" t="s">
        <v>1128</v>
      </c>
      <c r="D31" s="1226">
        <f>B31</f>
        <v>21.666287962897236</v>
      </c>
      <c r="E31" s="178"/>
      <c r="J31" s="1"/>
      <c r="K31" s="1"/>
      <c r="L31" s="1"/>
      <c r="M31" s="1"/>
      <c r="N31" s="753"/>
      <c r="O31" s="753"/>
      <c r="P31" s="1"/>
      <c r="Q31" s="1"/>
      <c r="R31" s="1"/>
      <c r="S31" s="1"/>
      <c r="T31" s="753"/>
      <c r="U31" s="753"/>
      <c r="V31" s="1"/>
      <c r="W31" s="1"/>
      <c r="X31" s="14"/>
      <c r="Y31" s="188"/>
      <c r="Z31" s="6"/>
      <c r="AB31" s="234"/>
    </row>
    <row r="32" spans="1:24" ht="12.75">
      <c r="A32" s="998" t="s">
        <v>1129</v>
      </c>
      <c r="B32" s="1225">
        <f>Horses!R5</f>
        <v>78.0098</v>
      </c>
      <c r="C32" s="997" t="s">
        <v>1129</v>
      </c>
      <c r="D32" s="1226">
        <f>B32</f>
        <v>78.0098</v>
      </c>
      <c r="E32" s="25"/>
      <c r="F32" s="49"/>
      <c r="J32" s="1"/>
      <c r="K32" s="1"/>
      <c r="L32" s="1"/>
      <c r="M32" s="1"/>
      <c r="N32" s="753"/>
      <c r="O32" s="753"/>
      <c r="P32" s="1"/>
      <c r="Q32" s="1"/>
      <c r="R32" s="1"/>
      <c r="S32" s="1"/>
      <c r="T32" s="753"/>
      <c r="U32" s="753"/>
      <c r="V32" s="1"/>
      <c r="W32" s="1"/>
      <c r="X32" s="14"/>
    </row>
    <row r="33" ht="12.75"/>
    <row r="34" ht="12.75">
      <c r="Y34" s="6"/>
    </row>
    <row r="35" ht="12.75">
      <c r="A35" s="188"/>
    </row>
    <row r="36" ht="12.75"/>
    <row r="37" spans="1:6" s="46" customFormat="1" ht="12.75">
      <c r="A37" s="46" t="s">
        <v>1090</v>
      </c>
      <c r="E37" s="1413" t="s">
        <v>1017</v>
      </c>
      <c r="F37" s="1413"/>
    </row>
    <row r="38" spans="4:6" s="46" customFormat="1" ht="12.75">
      <c r="D38" s="677" t="s">
        <v>995</v>
      </c>
      <c r="E38" s="979" t="s">
        <v>1005</v>
      </c>
      <c r="F38" s="979" t="s">
        <v>1007</v>
      </c>
    </row>
    <row r="39" spans="1:13" s="46" customFormat="1" ht="12.75">
      <c r="A39" s="964" t="s">
        <v>208</v>
      </c>
      <c r="B39" s="965"/>
      <c r="C39" s="965"/>
      <c r="D39" s="182" t="s">
        <v>337</v>
      </c>
      <c r="E39" s="182">
        <f>B41</f>
        <v>218700</v>
      </c>
      <c r="I39" s="182"/>
      <c r="J39" s="705" t="s">
        <v>341</v>
      </c>
      <c r="K39" s="182">
        <f>(F43/(B46*B49))*2</f>
        <v>165996.20493358636</v>
      </c>
      <c r="L39" s="182"/>
      <c r="M39" s="182"/>
    </row>
    <row r="40" spans="1:13" s="46" customFormat="1" ht="12.75">
      <c r="A40" s="966" t="s">
        <v>361</v>
      </c>
      <c r="B40" s="182">
        <f>Dairy!C9</f>
        <v>6899362191.303629</v>
      </c>
      <c r="C40" s="182"/>
      <c r="D40" s="182" t="s">
        <v>338</v>
      </c>
      <c r="F40" s="182">
        <f>E39*B46</f>
        <v>185895</v>
      </c>
      <c r="J40" s="182"/>
      <c r="K40" s="967" t="s">
        <v>342</v>
      </c>
      <c r="L40" s="182">
        <f>(K39/2)*B49*B46</f>
        <v>65610.00000000001</v>
      </c>
      <c r="M40" s="182" t="s">
        <v>1035</v>
      </c>
    </row>
    <row r="41" spans="1:13" s="46" customFormat="1" ht="12.75">
      <c r="A41" s="46" t="s">
        <v>993</v>
      </c>
      <c r="B41" s="182">
        <f>Cattle!B6</f>
        <v>218700</v>
      </c>
      <c r="C41" s="182"/>
      <c r="D41" s="182" t="s">
        <v>339</v>
      </c>
      <c r="F41" s="182">
        <f>E39*B51</f>
        <v>4374</v>
      </c>
      <c r="G41" s="970"/>
      <c r="J41" s="182"/>
      <c r="K41" s="182"/>
      <c r="L41" s="182">
        <f>(K39/2)*B49*B46</f>
        <v>65610.00000000001</v>
      </c>
      <c r="M41" s="182" t="s">
        <v>343</v>
      </c>
    </row>
    <row r="42" spans="1:12" s="46" customFormat="1" ht="12.75">
      <c r="A42" s="46" t="s">
        <v>992</v>
      </c>
      <c r="B42" s="182">
        <f>Cattle!D6</f>
        <v>18466</v>
      </c>
      <c r="C42" s="182"/>
      <c r="D42" s="182" t="s">
        <v>340</v>
      </c>
      <c r="F42" s="182">
        <f>E39*B46*B49</f>
        <v>172882.35</v>
      </c>
      <c r="J42" s="182"/>
      <c r="K42" s="182"/>
      <c r="L42" s="705"/>
    </row>
    <row r="43" spans="1:13" s="46" customFormat="1" ht="12.75">
      <c r="A43" s="46" t="s">
        <v>994</v>
      </c>
      <c r="B43" s="182">
        <f>(B40-(B41*B42))/B44</f>
        <v>138724.59649914555</v>
      </c>
      <c r="C43" s="182"/>
      <c r="D43" s="976" t="s">
        <v>1010</v>
      </c>
      <c r="E43" s="182">
        <v>100520.00000000001</v>
      </c>
      <c r="F43" s="182">
        <f>E39*B47</f>
        <v>65610</v>
      </c>
      <c r="I43" s="182"/>
      <c r="J43" s="967" t="s">
        <v>344</v>
      </c>
      <c r="K43" s="182">
        <f>E39-K39</f>
        <v>52703.795066413644</v>
      </c>
      <c r="L43" s="182"/>
      <c r="M43" s="182"/>
    </row>
    <row r="44" spans="1:13" s="46" customFormat="1" ht="12.75">
      <c r="A44" s="966" t="s">
        <v>335</v>
      </c>
      <c r="B44" s="182">
        <f>Dairy!C7</f>
        <v>20622.5</v>
      </c>
      <c r="C44" s="182"/>
      <c r="D44" s="976" t="s">
        <v>1011</v>
      </c>
      <c r="F44" s="182">
        <f>F41*B50</f>
        <v>1312.2</v>
      </c>
      <c r="I44" s="182"/>
      <c r="J44" s="967"/>
      <c r="L44" s="182"/>
      <c r="M44" s="182"/>
    </row>
    <row r="45" spans="1:13" s="46" customFormat="1" ht="12.75">
      <c r="A45" s="966" t="s">
        <v>336</v>
      </c>
      <c r="B45" s="182">
        <f>B40/B44</f>
        <v>334555.0826186752</v>
      </c>
      <c r="C45" s="182"/>
      <c r="D45" s="976" t="s">
        <v>1012</v>
      </c>
      <c r="F45" s="182">
        <f>L41-F44</f>
        <v>64297.80000000002</v>
      </c>
      <c r="G45" s="970"/>
      <c r="K45" s="182"/>
      <c r="L45" s="182"/>
      <c r="M45" s="182"/>
    </row>
    <row r="46" spans="1:13" s="46" customFormat="1" ht="12.75">
      <c r="A46" s="966" t="s">
        <v>572</v>
      </c>
      <c r="B46" s="284">
        <v>0.85</v>
      </c>
      <c r="C46" s="182"/>
      <c r="D46" s="976" t="s">
        <v>1013</v>
      </c>
      <c r="F46" s="182">
        <f>K43*B49*B46</f>
        <v>41662.349999999984</v>
      </c>
      <c r="K46" s="182"/>
      <c r="L46" s="182"/>
      <c r="M46" s="182"/>
    </row>
    <row r="47" spans="1:13" s="46" customFormat="1" ht="12.75">
      <c r="A47" s="966" t="s">
        <v>573</v>
      </c>
      <c r="B47" s="284">
        <v>0.3</v>
      </c>
      <c r="C47" s="182"/>
      <c r="D47" s="182"/>
      <c r="F47" s="182"/>
      <c r="G47" s="182"/>
      <c r="H47" s="182"/>
      <c r="I47" s="182"/>
      <c r="J47" s="182"/>
      <c r="K47" s="182"/>
      <c r="L47" s="182"/>
      <c r="M47" s="182"/>
    </row>
    <row r="48" spans="1:12" s="46" customFormat="1" ht="12.75">
      <c r="A48" s="966" t="s">
        <v>574</v>
      </c>
      <c r="B48" s="284">
        <v>0.8</v>
      </c>
      <c r="C48" s="182"/>
      <c r="E48" s="182"/>
      <c r="G48" s="182"/>
      <c r="H48" s="182"/>
      <c r="I48" s="182"/>
      <c r="J48" s="182"/>
      <c r="K48" s="188"/>
      <c r="L48" s="188"/>
    </row>
    <row r="49" spans="1:12" s="46" customFormat="1" ht="12.75">
      <c r="A49" s="966" t="s">
        <v>575</v>
      </c>
      <c r="B49" s="284">
        <v>0.93</v>
      </c>
      <c r="C49" s="182"/>
      <c r="E49" s="182"/>
      <c r="F49" s="182"/>
      <c r="G49" s="182"/>
      <c r="H49" s="182"/>
      <c r="I49" s="182"/>
      <c r="J49" s="182"/>
      <c r="K49" s="188"/>
      <c r="L49" s="188"/>
    </row>
    <row r="50" spans="1:12" s="46" customFormat="1" ht="12.75">
      <c r="A50" s="966" t="s">
        <v>576</v>
      </c>
      <c r="B50" s="284">
        <v>0.3</v>
      </c>
      <c r="C50" s="182"/>
      <c r="E50" s="182"/>
      <c r="F50" s="705" t="s">
        <v>345</v>
      </c>
      <c r="G50" s="182"/>
      <c r="H50" s="182"/>
      <c r="I50" s="184"/>
      <c r="J50" s="188"/>
      <c r="K50" s="300"/>
      <c r="L50" s="300"/>
    </row>
    <row r="51" spans="1:12" s="46" customFormat="1" ht="12.75">
      <c r="A51" s="966" t="s">
        <v>577</v>
      </c>
      <c r="B51" s="284">
        <f>1/50</f>
        <v>0.02</v>
      </c>
      <c r="E51" s="968" t="s">
        <v>346</v>
      </c>
      <c r="F51" s="182">
        <f>1200*0.59</f>
        <v>708</v>
      </c>
      <c r="G51" s="182"/>
      <c r="H51" s="182" t="s">
        <v>1001</v>
      </c>
      <c r="I51" s="184"/>
      <c r="J51" s="188"/>
      <c r="K51" s="184"/>
      <c r="L51" s="294"/>
    </row>
    <row r="52" spans="1:12" s="46" customFormat="1" ht="12.75">
      <c r="A52" s="966" t="s">
        <v>578</v>
      </c>
      <c r="B52" s="284">
        <v>2</v>
      </c>
      <c r="E52" s="968" t="s">
        <v>347</v>
      </c>
      <c r="F52" s="182">
        <f>1300*0.59</f>
        <v>767</v>
      </c>
      <c r="G52" s="182"/>
      <c r="H52" s="182" t="s">
        <v>1002</v>
      </c>
      <c r="I52" s="182">
        <f>(E39*B47*B48*F51)</f>
        <v>37161504</v>
      </c>
      <c r="J52" s="300"/>
      <c r="K52" s="184"/>
      <c r="L52" s="184"/>
    </row>
    <row r="53" spans="1:10" s="46" customFormat="1" ht="12.75">
      <c r="A53" s="966" t="s">
        <v>579</v>
      </c>
      <c r="B53" s="284">
        <v>2</v>
      </c>
      <c r="E53" s="968" t="s">
        <v>947</v>
      </c>
      <c r="F53" s="182">
        <f>1300*0.59</f>
        <v>767</v>
      </c>
      <c r="G53" s="182"/>
      <c r="H53" s="182" t="s">
        <v>1003</v>
      </c>
      <c r="I53" s="182">
        <f>F41*B51*B48*F52</f>
        <v>53677.72800000001</v>
      </c>
      <c r="J53" s="294"/>
    </row>
    <row r="54" spans="5:10" s="46" customFormat="1" ht="12.75">
      <c r="E54" s="968" t="s">
        <v>348</v>
      </c>
      <c r="F54" s="182">
        <f>(F53+F55)/2</f>
        <v>793</v>
      </c>
      <c r="G54" s="182"/>
      <c r="H54" s="182" t="s">
        <v>1036</v>
      </c>
      <c r="I54" s="182">
        <f>(F45+F46)*100</f>
        <v>10596015</v>
      </c>
      <c r="J54" s="184"/>
    </row>
    <row r="55" spans="5:9" s="46" customFormat="1" ht="12.75">
      <c r="E55" s="968" t="s">
        <v>350</v>
      </c>
      <c r="F55" s="182">
        <f>1300*0.63</f>
        <v>819</v>
      </c>
      <c r="G55" s="182"/>
      <c r="H55" s="182"/>
      <c r="I55" s="182"/>
    </row>
    <row r="56" spans="5:9" s="46" customFormat="1" ht="12.75">
      <c r="E56" s="968" t="s">
        <v>352</v>
      </c>
      <c r="F56" s="182">
        <f>1300*0.63</f>
        <v>819</v>
      </c>
      <c r="G56" s="182"/>
      <c r="H56" s="182"/>
      <c r="I56" s="970"/>
    </row>
    <row r="57" spans="5:9" s="46" customFormat="1" ht="12.75">
      <c r="E57" s="968" t="s">
        <v>354</v>
      </c>
      <c r="F57" s="182">
        <f>1300*0.63</f>
        <v>819</v>
      </c>
      <c r="G57" s="182"/>
      <c r="H57" s="182"/>
      <c r="I57" s="182"/>
    </row>
    <row r="58" spans="1:11" s="46" customFormat="1" ht="12.75">
      <c r="A58" s="964" t="s">
        <v>126</v>
      </c>
      <c r="B58" s="188"/>
      <c r="E58" s="182"/>
      <c r="F58" s="182"/>
      <c r="G58" s="182"/>
      <c r="H58" s="182"/>
      <c r="I58" s="182"/>
      <c r="K58" s="678"/>
    </row>
    <row r="59" spans="1:2" s="182" customFormat="1" ht="12.75">
      <c r="A59" s="584" t="s">
        <v>996</v>
      </c>
      <c r="B59" s="32">
        <v>39720.00000000001</v>
      </c>
    </row>
    <row r="60" spans="1:10" s="182" customFormat="1" ht="12.75">
      <c r="A60" s="972" t="s">
        <v>349</v>
      </c>
      <c r="B60" s="972">
        <v>0.85</v>
      </c>
      <c r="E60" s="968"/>
      <c r="F60" s="1410" t="s">
        <v>1006</v>
      </c>
      <c r="G60" s="1410"/>
      <c r="H60" s="1411" t="s">
        <v>999</v>
      </c>
      <c r="I60" s="1412" t="s">
        <v>1000</v>
      </c>
      <c r="J60" s="971"/>
    </row>
    <row r="61" spans="1:10" s="182" customFormat="1" ht="12.75">
      <c r="A61" s="972" t="s">
        <v>351</v>
      </c>
      <c r="B61" s="973">
        <v>0.93</v>
      </c>
      <c r="F61" s="182" t="s">
        <v>1005</v>
      </c>
      <c r="G61" s="182" t="s">
        <v>1007</v>
      </c>
      <c r="H61" s="1411"/>
      <c r="I61" s="1412"/>
      <c r="J61" s="971"/>
    </row>
    <row r="62" spans="1:9" s="182" customFormat="1" ht="12.75">
      <c r="A62" s="972" t="s">
        <v>353</v>
      </c>
      <c r="B62" s="973">
        <v>0.3</v>
      </c>
      <c r="E62" s="988" t="s">
        <v>463</v>
      </c>
      <c r="F62" s="184">
        <f>B59</f>
        <v>39720.00000000001</v>
      </c>
      <c r="H62" s="182">
        <f>F62*B62*B67</f>
        <v>9532.800000000001</v>
      </c>
      <c r="I62" s="182">
        <f>H62*F56</f>
        <v>7807363.200000001</v>
      </c>
    </row>
    <row r="63" spans="1:12" s="182" customFormat="1" ht="12.75">
      <c r="A63" s="972" t="s">
        <v>355</v>
      </c>
      <c r="B63" s="972">
        <v>2</v>
      </c>
      <c r="E63" s="988" t="s">
        <v>339</v>
      </c>
      <c r="G63" s="294">
        <f>F62*B64</f>
        <v>1986.0000000000005</v>
      </c>
      <c r="H63" s="182">
        <f>G63*B66*B67</f>
        <v>317.7600000000001</v>
      </c>
      <c r="I63" s="182">
        <f>F57*H63</f>
        <v>260245.4400000001</v>
      </c>
      <c r="J63" s="294"/>
      <c r="K63" s="294"/>
      <c r="L63" s="294"/>
    </row>
    <row r="64" spans="1:12" s="182" customFormat="1" ht="12.75">
      <c r="A64" s="972" t="s">
        <v>356</v>
      </c>
      <c r="B64" s="973">
        <f>1/20</f>
        <v>0.05</v>
      </c>
      <c r="E64" s="989" t="s">
        <v>1008</v>
      </c>
      <c r="G64" s="294">
        <f>F62*B60*B61</f>
        <v>31398.660000000007</v>
      </c>
      <c r="J64" s="184"/>
      <c r="K64" s="184"/>
      <c r="L64" s="184"/>
    </row>
    <row r="65" spans="1:10" s="182" customFormat="1" ht="12.75">
      <c r="A65" s="972" t="s">
        <v>357</v>
      </c>
      <c r="B65" s="972">
        <v>1.25</v>
      </c>
      <c r="E65" s="976" t="s">
        <v>1009</v>
      </c>
      <c r="F65" s="182">
        <v>12940</v>
      </c>
      <c r="G65" s="184">
        <f>(F62*B62)</f>
        <v>11916.000000000002</v>
      </c>
      <c r="J65" s="32"/>
    </row>
    <row r="66" spans="1:11" s="182" customFormat="1" ht="12.75">
      <c r="A66" s="972" t="s">
        <v>358</v>
      </c>
      <c r="B66" s="972">
        <v>0.2</v>
      </c>
      <c r="E66" s="976" t="s">
        <v>1004</v>
      </c>
      <c r="G66" s="182">
        <f>(F62*B64*B66)</f>
        <v>397.2000000000001</v>
      </c>
      <c r="J66" s="284"/>
      <c r="K66" s="969"/>
    </row>
    <row r="67" spans="1:9" s="182" customFormat="1" ht="12.75">
      <c r="A67" s="966" t="s">
        <v>359</v>
      </c>
      <c r="B67" s="216">
        <v>0.8</v>
      </c>
      <c r="E67" s="976" t="s">
        <v>998</v>
      </c>
      <c r="G67" s="705">
        <f>112520-F46-F45</f>
        <v>6559.850000000006</v>
      </c>
      <c r="H67" s="182">
        <f>G67</f>
        <v>6559.850000000006</v>
      </c>
      <c r="I67" s="182">
        <f>H67*100</f>
        <v>655985.0000000006</v>
      </c>
    </row>
    <row r="68" spans="5:9" s="182" customFormat="1" ht="12.75">
      <c r="E68" s="976" t="s">
        <v>997</v>
      </c>
      <c r="G68" s="182">
        <f>((F62*B60*B61)-(F62*B62)-(F62*B64*B66))-G67</f>
        <v>12525.609999999997</v>
      </c>
      <c r="H68" s="182">
        <f>G68</f>
        <v>12525.609999999997</v>
      </c>
      <c r="I68" s="182">
        <f>H68*F55</f>
        <v>10258474.589999998</v>
      </c>
    </row>
    <row r="69" s="182" customFormat="1" ht="12.75">
      <c r="I69" s="970"/>
    </row>
    <row r="70" spans="5:10" s="182" customFormat="1" ht="12.75">
      <c r="E70" s="976"/>
      <c r="H70" s="188"/>
      <c r="I70" s="974"/>
      <c r="J70" s="975"/>
    </row>
    <row r="71" spans="1:10" s="46" customFormat="1" ht="12.75">
      <c r="A71" s="188"/>
      <c r="B71" s="188"/>
      <c r="C71" s="188"/>
      <c r="D71" s="188"/>
      <c r="E71" s="391"/>
      <c r="F71" s="391"/>
      <c r="G71" s="391"/>
      <c r="H71" s="990" t="s">
        <v>1019</v>
      </c>
      <c r="I71" s="991">
        <f>SUM(I62:I68)+SUM(I52:I54)</f>
        <v>66793264.958000004</v>
      </c>
      <c r="J71" s="1229" t="s">
        <v>1383</v>
      </c>
    </row>
    <row r="72" spans="1:10" s="46" customFormat="1" ht="12.75">
      <c r="A72" s="188"/>
      <c r="B72" s="188"/>
      <c r="C72" s="188"/>
      <c r="D72" s="188"/>
      <c r="E72" s="607"/>
      <c r="F72" s="607"/>
      <c r="G72" s="992"/>
      <c r="H72" s="993" t="s">
        <v>1020</v>
      </c>
      <c r="I72" s="391"/>
      <c r="J72" s="489"/>
    </row>
    <row r="73" spans="1:10" s="46" customFormat="1" ht="12.75">
      <c r="A73" s="188"/>
      <c r="B73" s="188"/>
      <c r="C73" s="188"/>
      <c r="D73" s="188"/>
      <c r="E73" s="607"/>
      <c r="F73" s="987"/>
      <c r="G73" s="607"/>
      <c r="H73" s="993" t="s">
        <v>1021</v>
      </c>
      <c r="I73" s="222">
        <f>0.63*103543600</f>
        <v>65232468</v>
      </c>
      <c r="J73" s="489" t="s">
        <v>1382</v>
      </c>
    </row>
    <row r="74" spans="5:10" s="46" customFormat="1" ht="12.75">
      <c r="E74" s="391"/>
      <c r="F74" s="391"/>
      <c r="G74" s="391"/>
      <c r="H74" s="990" t="s">
        <v>1022</v>
      </c>
      <c r="I74" s="222">
        <f>0.63*109720000</f>
        <v>69123600</v>
      </c>
      <c r="J74" s="489" t="s">
        <v>1382</v>
      </c>
    </row>
    <row r="75" s="46" customFormat="1" ht="12.75"/>
    <row r="76" ht="12.75">
      <c r="A76" s="19"/>
    </row>
    <row r="77" spans="2:4" ht="12.75">
      <c r="B77" s="1000"/>
      <c r="C77" s="1000"/>
      <c r="D77" s="1000"/>
    </row>
    <row r="78" spans="2:4" ht="12.75">
      <c r="B78" s="23"/>
      <c r="C78" s="5"/>
      <c r="D78" s="32"/>
    </row>
    <row r="79" spans="3:4" ht="12.75">
      <c r="C79" s="5"/>
      <c r="D79" s="32"/>
    </row>
    <row r="80" spans="3:4" ht="12.75">
      <c r="C80" s="5"/>
      <c r="D80" s="32"/>
    </row>
    <row r="81" spans="3:4" ht="12.75">
      <c r="C81" s="5"/>
      <c r="D81" s="32"/>
    </row>
    <row r="82" spans="3:4" ht="12.75">
      <c r="C82" s="5"/>
      <c r="D82" s="32"/>
    </row>
    <row r="83" spans="1:4" ht="12.75">
      <c r="A83" s="185"/>
      <c r="B83" s="1001"/>
      <c r="C83" s="5"/>
      <c r="D83" s="5"/>
    </row>
    <row r="85" ht="12.75">
      <c r="A85" s="19"/>
    </row>
    <row r="86" spans="2:4" ht="12.75">
      <c r="B86" s="1008"/>
      <c r="C86" s="1008"/>
      <c r="D86" s="1009"/>
    </row>
    <row r="87" spans="2:4" ht="12.75">
      <c r="B87" s="1002"/>
      <c r="C87" s="1002"/>
      <c r="D87" s="1009"/>
    </row>
    <row r="88" spans="2:3" ht="12.75">
      <c r="B88" s="857"/>
      <c r="C88" s="857"/>
    </row>
    <row r="89" spans="2:3" ht="12.75">
      <c r="B89" s="857"/>
      <c r="C89" s="857"/>
    </row>
    <row r="90" spans="2:3" ht="12.75">
      <c r="B90" s="857"/>
      <c r="C90" s="857"/>
    </row>
    <row r="91" spans="2:3" ht="12.75">
      <c r="B91" s="857"/>
      <c r="C91" s="857"/>
    </row>
    <row r="92" ht="12.75">
      <c r="C92" s="857"/>
    </row>
    <row r="93" spans="1:4" ht="12.75">
      <c r="A93" s="185"/>
      <c r="B93" s="32"/>
      <c r="C93" s="32"/>
      <c r="D93" s="32"/>
    </row>
    <row r="96" spans="2:4" s="1003" customFormat="1" ht="12.75">
      <c r="B96" s="1004"/>
      <c r="C96" s="1004"/>
      <c r="D96" s="1004"/>
    </row>
    <row r="97" spans="2:4" ht="12.75">
      <c r="B97" s="1005"/>
      <c r="C97" s="1005"/>
      <c r="D97" s="1006"/>
    </row>
    <row r="98" spans="3:4" ht="12.75">
      <c r="C98" s="5"/>
      <c r="D98" s="5"/>
    </row>
    <row r="99" spans="3:4" ht="12.75">
      <c r="C99" s="5"/>
      <c r="D99" s="5"/>
    </row>
    <row r="100" spans="3:4" ht="12.75">
      <c r="C100" s="5"/>
      <c r="D100" s="5"/>
    </row>
    <row r="101" spans="3:4" ht="12.75">
      <c r="C101" s="5"/>
      <c r="D101" s="5"/>
    </row>
    <row r="102" spans="3:4" ht="12.75">
      <c r="C102" s="5"/>
      <c r="D102" s="5"/>
    </row>
    <row r="103" spans="1:4" ht="12.75">
      <c r="A103" s="984"/>
      <c r="B103" s="32"/>
      <c r="C103" s="32"/>
      <c r="D103" s="32"/>
    </row>
    <row r="104" spans="1:4" ht="12.75">
      <c r="A104" s="984"/>
      <c r="B104" s="32"/>
      <c r="C104" s="32"/>
      <c r="D104" s="32"/>
    </row>
    <row r="105" spans="1:4" ht="12.75">
      <c r="A105" s="984"/>
      <c r="B105" s="263"/>
      <c r="C105" s="263"/>
      <c r="D105" s="263"/>
    </row>
    <row r="106" spans="2:4" ht="12.75">
      <c r="B106" s="263"/>
      <c r="C106" s="263"/>
      <c r="D106" s="263"/>
    </row>
    <row r="109" ht="12.75">
      <c r="C109" s="5"/>
    </row>
    <row r="110" spans="2:4" ht="12.75">
      <c r="B110" s="984"/>
      <c r="C110" s="984"/>
      <c r="D110" s="984"/>
    </row>
    <row r="111" spans="2:4" ht="12.75">
      <c r="B111" s="984"/>
      <c r="C111" s="1007"/>
      <c r="D111" s="984"/>
    </row>
    <row r="112" spans="1:4" ht="12.75">
      <c r="A112" s="984"/>
      <c r="B112" s="32"/>
      <c r="C112" s="32"/>
      <c r="D112" s="32"/>
    </row>
    <row r="114" spans="2:3" ht="12.75">
      <c r="B114" s="24"/>
      <c r="C114" s="177"/>
    </row>
    <row r="117" ht="12.75">
      <c r="D117" s="984"/>
    </row>
  </sheetData>
  <sheetProtection/>
  <mergeCells count="16">
    <mergeCell ref="C2:D3"/>
    <mergeCell ref="B2:B3"/>
    <mergeCell ref="E2:I2"/>
    <mergeCell ref="J2:W2"/>
    <mergeCell ref="X2:AB2"/>
    <mergeCell ref="R3:W3"/>
    <mergeCell ref="X5:AB5"/>
    <mergeCell ref="L3:Q3"/>
    <mergeCell ref="F60:G60"/>
    <mergeCell ref="H60:H61"/>
    <mergeCell ref="I60:I61"/>
    <mergeCell ref="E37:F37"/>
    <mergeCell ref="E16:I16"/>
    <mergeCell ref="E5:F5"/>
    <mergeCell ref="G5:I5"/>
    <mergeCell ref="Q5:W5"/>
  </mergeCells>
  <printOptions/>
  <pageMargins left="0.7" right="0.7" top="0.75" bottom="0.75" header="0.3" footer="0.3"/>
  <pageSetup orientation="portrait"/>
  <legacyDrawing r:id="rId2"/>
</worksheet>
</file>

<file path=xl/worksheets/sheet2.xml><?xml version="1.0" encoding="utf-8"?>
<worksheet xmlns="http://schemas.openxmlformats.org/spreadsheetml/2006/main" xmlns:r="http://schemas.openxmlformats.org/officeDocument/2006/relationships">
  <dimension ref="A1:K113"/>
  <sheetViews>
    <sheetView zoomScalePageLayoutView="0" workbookViewId="0" topLeftCell="A1">
      <pane xSplit="1" ySplit="4" topLeftCell="B62" activePane="bottomRight" state="frozen"/>
      <selection pane="topLeft" activeCell="A1" sqref="A1"/>
      <selection pane="topRight" activeCell="B1" sqref="B1"/>
      <selection pane="bottomLeft" activeCell="A5" sqref="A5"/>
      <selection pane="bottomRight" activeCell="K5" sqref="K5"/>
    </sheetView>
  </sheetViews>
  <sheetFormatPr defaultColWidth="11.421875" defaultRowHeight="12.75"/>
  <cols>
    <col min="1" max="1" width="31.421875" style="1061" customWidth="1"/>
    <col min="2" max="2" width="11.8515625" style="1061" customWidth="1"/>
    <col min="3" max="3" width="11.7109375" style="1061" customWidth="1"/>
    <col min="4" max="4" width="10.7109375" style="1061" bestFit="1" customWidth="1"/>
    <col min="5" max="8" width="9.140625" style="1061" customWidth="1"/>
    <col min="9" max="9" width="7.28125" style="1062" customWidth="1"/>
    <col min="10" max="10" width="15.421875" style="1061" customWidth="1"/>
    <col min="11" max="11" width="9.140625" style="1061" customWidth="1"/>
    <col min="12" max="16384" width="11.421875" style="1061" customWidth="1"/>
  </cols>
  <sheetData>
    <row r="1" ht="12.75" customHeight="1">
      <c r="A1" s="1057" t="s">
        <v>1148</v>
      </c>
    </row>
    <row r="2" ht="12.75" customHeight="1">
      <c r="A2" s="1057" t="s">
        <v>1149</v>
      </c>
    </row>
    <row r="3" ht="12.75" customHeight="1"/>
    <row r="4" spans="1:8" ht="12.75" customHeight="1">
      <c r="A4" s="1063" t="s">
        <v>0</v>
      </c>
      <c r="B4" s="1064" t="s">
        <v>1150</v>
      </c>
      <c r="C4" s="1064" t="s">
        <v>1151</v>
      </c>
      <c r="D4" s="1064" t="s">
        <v>1152</v>
      </c>
      <c r="E4" s="1064" t="s">
        <v>1153</v>
      </c>
      <c r="F4" s="1064" t="s">
        <v>1154</v>
      </c>
      <c r="G4" s="1065" t="s">
        <v>1155</v>
      </c>
      <c r="H4" s="1066" t="s">
        <v>1156</v>
      </c>
    </row>
    <row r="5" spans="1:11" ht="12.75" customHeight="1">
      <c r="A5" s="1067" t="s">
        <v>147</v>
      </c>
      <c r="B5" s="1068">
        <v>38</v>
      </c>
      <c r="C5" s="1068">
        <v>71</v>
      </c>
      <c r="D5" s="1068" t="s">
        <v>148</v>
      </c>
      <c r="E5" s="1068">
        <v>24</v>
      </c>
      <c r="F5" s="1068">
        <v>11</v>
      </c>
      <c r="G5" s="1069">
        <v>33</v>
      </c>
      <c r="H5" s="1070">
        <f aca="true" t="shared" si="0" ref="H5:H10">SUM(B5:G5)</f>
        <v>177</v>
      </c>
      <c r="I5" s="1096">
        <f>H5/1000</f>
        <v>0.177</v>
      </c>
      <c r="J5" s="1057" t="s">
        <v>1157</v>
      </c>
      <c r="K5" s="1210" t="s">
        <v>1364</v>
      </c>
    </row>
    <row r="6" spans="1:10" ht="12.75" customHeight="1">
      <c r="A6" s="1057" t="s">
        <v>1158</v>
      </c>
      <c r="B6" s="1071">
        <v>14</v>
      </c>
      <c r="C6" s="1071">
        <v>37</v>
      </c>
      <c r="D6" s="1071">
        <v>2</v>
      </c>
      <c r="E6" s="1071">
        <v>2</v>
      </c>
      <c r="F6" s="1071">
        <v>1</v>
      </c>
      <c r="G6" s="1072">
        <v>27</v>
      </c>
      <c r="H6" s="1073">
        <f t="shared" si="0"/>
        <v>83</v>
      </c>
      <c r="I6" s="1096">
        <f>H6/1000</f>
        <v>0.083</v>
      </c>
      <c r="J6" s="1057" t="s">
        <v>1157</v>
      </c>
    </row>
    <row r="7" spans="1:10" ht="12.75" customHeight="1">
      <c r="A7" s="1057" t="s">
        <v>225</v>
      </c>
      <c r="B7" s="1071">
        <v>39</v>
      </c>
      <c r="C7" s="1071">
        <v>223</v>
      </c>
      <c r="D7" s="1071">
        <v>54</v>
      </c>
      <c r="E7" s="1071">
        <v>35</v>
      </c>
      <c r="F7" s="1071">
        <v>21</v>
      </c>
      <c r="G7" s="1072">
        <v>91</v>
      </c>
      <c r="H7" s="1073">
        <f t="shared" si="0"/>
        <v>463</v>
      </c>
      <c r="I7" s="1096">
        <f>H7/1000</f>
        <v>0.463</v>
      </c>
      <c r="J7" s="1057" t="s">
        <v>1157</v>
      </c>
    </row>
    <row r="8" spans="1:10" ht="12.75" customHeight="1">
      <c r="A8" s="1057" t="s">
        <v>1159</v>
      </c>
      <c r="B8" s="1071">
        <v>7</v>
      </c>
      <c r="C8" s="1071">
        <v>6</v>
      </c>
      <c r="D8" s="1071">
        <v>0</v>
      </c>
      <c r="E8" s="1071">
        <v>2</v>
      </c>
      <c r="F8" s="1071">
        <v>0</v>
      </c>
      <c r="G8" s="1072">
        <v>4</v>
      </c>
      <c r="H8" s="1073">
        <f t="shared" si="0"/>
        <v>19</v>
      </c>
      <c r="I8" s="1096">
        <f aca="true" t="shared" si="1" ref="I8:I71">H8/1000</f>
        <v>0.019</v>
      </c>
      <c r="J8" s="1057" t="s">
        <v>1157</v>
      </c>
    </row>
    <row r="9" spans="1:10" ht="12.75" customHeight="1">
      <c r="A9" s="1074" t="s">
        <v>154</v>
      </c>
      <c r="B9" s="1075">
        <v>2</v>
      </c>
      <c r="C9" s="1075">
        <v>15</v>
      </c>
      <c r="D9" s="1075">
        <v>5</v>
      </c>
      <c r="E9" s="1075">
        <v>4</v>
      </c>
      <c r="F9" s="1075" t="s">
        <v>1160</v>
      </c>
      <c r="G9" s="1076">
        <v>21</v>
      </c>
      <c r="H9" s="1077">
        <f t="shared" si="0"/>
        <v>47</v>
      </c>
      <c r="I9" s="1096">
        <f t="shared" si="1"/>
        <v>0.047</v>
      </c>
      <c r="J9" s="1074" t="s">
        <v>1157</v>
      </c>
    </row>
    <row r="10" spans="1:10" ht="12.75" customHeight="1">
      <c r="A10" s="1067" t="s">
        <v>1161</v>
      </c>
      <c r="B10" s="1078">
        <f aca="true" t="shared" si="2" ref="B10:G10">SUM(B5:B9)</f>
        <v>100</v>
      </c>
      <c r="C10" s="1078">
        <f t="shared" si="2"/>
        <v>352</v>
      </c>
      <c r="D10" s="1078">
        <f t="shared" si="2"/>
        <v>61</v>
      </c>
      <c r="E10" s="1078">
        <f t="shared" si="2"/>
        <v>67</v>
      </c>
      <c r="F10" s="1078">
        <f t="shared" si="2"/>
        <v>33</v>
      </c>
      <c r="G10" s="1079">
        <f t="shared" si="2"/>
        <v>176</v>
      </c>
      <c r="H10" s="1070">
        <f t="shared" si="0"/>
        <v>789</v>
      </c>
      <c r="I10" s="1080">
        <f t="shared" si="1"/>
        <v>0.789</v>
      </c>
      <c r="J10" s="1067" t="s">
        <v>1162</v>
      </c>
    </row>
    <row r="11" spans="7:9" ht="12.75" customHeight="1">
      <c r="G11" s="1081"/>
      <c r="H11" s="1082"/>
      <c r="I11" s="1096"/>
    </row>
    <row r="12" spans="1:10" ht="12.75" customHeight="1">
      <c r="A12" s="1057" t="s">
        <v>1163</v>
      </c>
      <c r="B12" s="1083">
        <v>49</v>
      </c>
      <c r="C12" s="1083">
        <v>114</v>
      </c>
      <c r="D12" s="1083">
        <v>8</v>
      </c>
      <c r="E12" s="1083">
        <v>13</v>
      </c>
      <c r="F12" s="1083">
        <v>2</v>
      </c>
      <c r="G12" s="1084">
        <v>18</v>
      </c>
      <c r="H12" s="1082">
        <f aca="true" t="shared" si="3" ref="H12:H28">SUM(B12:G12)</f>
        <v>204</v>
      </c>
      <c r="I12" s="1096">
        <f t="shared" si="1"/>
        <v>0.204</v>
      </c>
      <c r="J12" s="1057" t="s">
        <v>1157</v>
      </c>
    </row>
    <row r="13" spans="1:10" ht="12.75" customHeight="1">
      <c r="A13" s="1057" t="s">
        <v>1164</v>
      </c>
      <c r="B13" s="1083">
        <v>8</v>
      </c>
      <c r="C13" s="1083">
        <v>37</v>
      </c>
      <c r="D13" s="1083">
        <v>35</v>
      </c>
      <c r="E13" s="1083">
        <v>14</v>
      </c>
      <c r="F13" s="1083">
        <v>3</v>
      </c>
      <c r="G13" s="1084">
        <v>31</v>
      </c>
      <c r="H13" s="1082">
        <f t="shared" si="3"/>
        <v>128</v>
      </c>
      <c r="I13" s="1096">
        <f t="shared" si="1"/>
        <v>0.128</v>
      </c>
      <c r="J13" s="1057" t="s">
        <v>1157</v>
      </c>
    </row>
    <row r="14" spans="1:10" ht="12.75" customHeight="1">
      <c r="A14" s="1057" t="s">
        <v>1165</v>
      </c>
      <c r="B14" s="1083">
        <v>1015</v>
      </c>
      <c r="C14" s="1083">
        <v>394</v>
      </c>
      <c r="D14" s="1083">
        <v>185</v>
      </c>
      <c r="E14" s="1083">
        <v>116</v>
      </c>
      <c r="F14" s="1083">
        <v>46</v>
      </c>
      <c r="G14" s="1084">
        <v>68</v>
      </c>
      <c r="H14" s="1082">
        <f t="shared" si="3"/>
        <v>1824</v>
      </c>
      <c r="I14" s="1096">
        <f t="shared" si="1"/>
        <v>1.824</v>
      </c>
      <c r="J14" s="1057" t="s">
        <v>1157</v>
      </c>
    </row>
    <row r="15" spans="1:10" ht="12.75" customHeight="1">
      <c r="A15" s="1057" t="s">
        <v>1166</v>
      </c>
      <c r="B15" s="1083">
        <v>105</v>
      </c>
      <c r="C15" s="1083">
        <v>269</v>
      </c>
      <c r="D15" s="1083">
        <v>82</v>
      </c>
      <c r="E15" s="1083">
        <v>16</v>
      </c>
      <c r="F15" s="1083">
        <v>32</v>
      </c>
      <c r="G15" s="1084">
        <v>42</v>
      </c>
      <c r="H15" s="1082">
        <f t="shared" si="3"/>
        <v>546</v>
      </c>
      <c r="I15" s="1096">
        <f t="shared" si="1"/>
        <v>0.546</v>
      </c>
      <c r="J15" s="1057" t="s">
        <v>1157</v>
      </c>
    </row>
    <row r="16" spans="1:10" ht="12.75" customHeight="1">
      <c r="A16" s="1057" t="s">
        <v>163</v>
      </c>
      <c r="B16" s="1083">
        <v>21</v>
      </c>
      <c r="C16" s="1083">
        <v>11</v>
      </c>
      <c r="D16" s="1083" t="s">
        <v>148</v>
      </c>
      <c r="E16" s="1083">
        <v>7</v>
      </c>
      <c r="F16" s="1083" t="s">
        <v>148</v>
      </c>
      <c r="G16" s="1084">
        <v>8</v>
      </c>
      <c r="H16" s="1082">
        <f t="shared" si="3"/>
        <v>47</v>
      </c>
      <c r="I16" s="1096">
        <f t="shared" si="1"/>
        <v>0.047</v>
      </c>
      <c r="J16" s="1057" t="s">
        <v>1157</v>
      </c>
    </row>
    <row r="17" spans="1:10" ht="12.75" customHeight="1">
      <c r="A17" s="1057" t="s">
        <v>164</v>
      </c>
      <c r="B17" s="1083">
        <v>0</v>
      </c>
      <c r="C17" s="1083">
        <v>5</v>
      </c>
      <c r="D17" s="1083" t="s">
        <v>148</v>
      </c>
      <c r="E17" s="1083">
        <v>0</v>
      </c>
      <c r="F17" s="1083" t="s">
        <v>148</v>
      </c>
      <c r="G17" s="1084" t="s">
        <v>148</v>
      </c>
      <c r="H17" s="1082">
        <f t="shared" si="3"/>
        <v>5</v>
      </c>
      <c r="I17" s="1096">
        <f t="shared" si="1"/>
        <v>0.005</v>
      </c>
      <c r="J17" s="1057" t="s">
        <v>1157</v>
      </c>
    </row>
    <row r="18" spans="1:10" ht="12.75" customHeight="1">
      <c r="A18" s="1057" t="s">
        <v>1167</v>
      </c>
      <c r="B18" s="1083">
        <v>302</v>
      </c>
      <c r="C18" s="1083">
        <v>416</v>
      </c>
      <c r="D18" s="1083">
        <v>142</v>
      </c>
      <c r="E18" s="1083">
        <v>68</v>
      </c>
      <c r="F18" s="1083">
        <v>16</v>
      </c>
      <c r="G18" s="1084">
        <v>37</v>
      </c>
      <c r="H18" s="1082">
        <f t="shared" si="3"/>
        <v>981</v>
      </c>
      <c r="I18" s="1096">
        <f t="shared" si="1"/>
        <v>0.981</v>
      </c>
      <c r="J18" s="1057" t="s">
        <v>1157</v>
      </c>
    </row>
    <row r="19" spans="1:10" ht="12.75" customHeight="1">
      <c r="A19" s="1057" t="s">
        <v>152</v>
      </c>
      <c r="B19" s="1083">
        <v>230</v>
      </c>
      <c r="C19" s="1083">
        <v>65</v>
      </c>
      <c r="D19" s="1083">
        <v>3</v>
      </c>
      <c r="E19" s="1083">
        <v>7</v>
      </c>
      <c r="F19" s="1083">
        <v>16</v>
      </c>
      <c r="G19" s="1084">
        <v>6</v>
      </c>
      <c r="H19" s="1082">
        <f t="shared" si="3"/>
        <v>327</v>
      </c>
      <c r="I19" s="1096">
        <f t="shared" si="1"/>
        <v>0.327</v>
      </c>
      <c r="J19" s="1057" t="s">
        <v>1157</v>
      </c>
    </row>
    <row r="20" spans="1:10" ht="12.75" customHeight="1">
      <c r="A20" s="1057" t="s">
        <v>1168</v>
      </c>
      <c r="B20" s="1083">
        <v>4</v>
      </c>
      <c r="C20" s="1083">
        <v>19</v>
      </c>
      <c r="D20" s="1083">
        <v>19</v>
      </c>
      <c r="E20" s="1083">
        <v>18</v>
      </c>
      <c r="F20" s="1083">
        <v>3</v>
      </c>
      <c r="G20" s="1084">
        <v>15</v>
      </c>
      <c r="H20" s="1082">
        <f t="shared" si="3"/>
        <v>78</v>
      </c>
      <c r="I20" s="1096">
        <f t="shared" si="1"/>
        <v>0.078</v>
      </c>
      <c r="J20" s="1057" t="s">
        <v>1157</v>
      </c>
    </row>
    <row r="21" spans="1:10" ht="12.75" customHeight="1">
      <c r="A21" s="1057" t="s">
        <v>1169</v>
      </c>
      <c r="B21" s="1083" t="s">
        <v>148</v>
      </c>
      <c r="C21" s="1083">
        <v>1</v>
      </c>
      <c r="D21" s="1083">
        <v>1</v>
      </c>
      <c r="E21" s="1083" t="s">
        <v>148</v>
      </c>
      <c r="F21" s="1083">
        <v>0</v>
      </c>
      <c r="G21" s="1084">
        <v>1</v>
      </c>
      <c r="H21" s="1082">
        <f t="shared" si="3"/>
        <v>3</v>
      </c>
      <c r="I21" s="1096">
        <f t="shared" si="1"/>
        <v>0.003</v>
      </c>
      <c r="J21" s="1057" t="s">
        <v>1157</v>
      </c>
    </row>
    <row r="22" spans="1:10" ht="12.75" customHeight="1">
      <c r="A22" s="1057" t="s">
        <v>1170</v>
      </c>
      <c r="B22" s="1083">
        <v>96</v>
      </c>
      <c r="C22" s="1083">
        <v>141</v>
      </c>
      <c r="D22" s="1083">
        <v>21</v>
      </c>
      <c r="E22" s="1083">
        <v>21</v>
      </c>
      <c r="F22" s="1083">
        <v>9</v>
      </c>
      <c r="G22" s="1084">
        <v>34</v>
      </c>
      <c r="H22" s="1082">
        <f t="shared" si="3"/>
        <v>322</v>
      </c>
      <c r="I22" s="1096">
        <f t="shared" si="1"/>
        <v>0.322</v>
      </c>
      <c r="J22" s="1057" t="s">
        <v>1157</v>
      </c>
    </row>
    <row r="23" spans="1:10" ht="12.75" customHeight="1">
      <c r="A23" s="1057" t="s">
        <v>1171</v>
      </c>
      <c r="B23" s="1083">
        <v>2</v>
      </c>
      <c r="C23" s="1083">
        <v>5</v>
      </c>
      <c r="D23" s="1083">
        <v>5</v>
      </c>
      <c r="E23" s="1083">
        <v>0</v>
      </c>
      <c r="F23" s="1083" t="s">
        <v>1160</v>
      </c>
      <c r="G23" s="1084">
        <v>2</v>
      </c>
      <c r="H23" s="1082">
        <f t="shared" si="3"/>
        <v>14</v>
      </c>
      <c r="I23" s="1096">
        <f t="shared" si="1"/>
        <v>0.014</v>
      </c>
      <c r="J23" s="1057" t="s">
        <v>1157</v>
      </c>
    </row>
    <row r="24" spans="1:10" ht="12.75" customHeight="1">
      <c r="A24" s="1057" t="s">
        <v>1172</v>
      </c>
      <c r="B24" s="1083">
        <v>592</v>
      </c>
      <c r="C24" s="1083">
        <v>460</v>
      </c>
      <c r="D24" s="1083">
        <v>70</v>
      </c>
      <c r="E24" s="1071">
        <v>47</v>
      </c>
      <c r="F24" s="1071">
        <v>99</v>
      </c>
      <c r="G24" s="1072">
        <v>62</v>
      </c>
      <c r="H24" s="1082">
        <f t="shared" si="3"/>
        <v>1330</v>
      </c>
      <c r="I24" s="1096">
        <f t="shared" si="1"/>
        <v>1.33</v>
      </c>
      <c r="J24" s="1057" t="s">
        <v>1157</v>
      </c>
    </row>
    <row r="25" spans="1:10" ht="12.75" customHeight="1">
      <c r="A25" s="1057" t="s">
        <v>1173</v>
      </c>
      <c r="B25" s="1083">
        <v>0</v>
      </c>
      <c r="C25" s="1083" t="s">
        <v>148</v>
      </c>
      <c r="D25" s="1083" t="s">
        <v>148</v>
      </c>
      <c r="E25" s="1071">
        <v>3</v>
      </c>
      <c r="F25" s="1071" t="s">
        <v>148</v>
      </c>
      <c r="G25" s="1072">
        <v>2</v>
      </c>
      <c r="H25" s="1082">
        <f t="shared" si="3"/>
        <v>5</v>
      </c>
      <c r="I25" s="1096">
        <f t="shared" si="1"/>
        <v>0.005</v>
      </c>
      <c r="J25" s="1057" t="s">
        <v>1157</v>
      </c>
    </row>
    <row r="26" spans="1:10" ht="12.75" customHeight="1">
      <c r="A26" s="1057" t="s">
        <v>1174</v>
      </c>
      <c r="B26" s="1083">
        <v>3</v>
      </c>
      <c r="C26" s="1083">
        <v>26</v>
      </c>
      <c r="D26" s="1083">
        <v>3</v>
      </c>
      <c r="E26" s="1071" t="s">
        <v>148</v>
      </c>
      <c r="F26" s="1071" t="s">
        <v>148</v>
      </c>
      <c r="G26" s="1072">
        <v>7</v>
      </c>
      <c r="H26" s="1082">
        <f t="shared" si="3"/>
        <v>39</v>
      </c>
      <c r="I26" s="1096">
        <f t="shared" si="1"/>
        <v>0.039</v>
      </c>
      <c r="J26" s="1057" t="s">
        <v>1157</v>
      </c>
    </row>
    <row r="27" spans="1:10" ht="12.75" customHeight="1">
      <c r="A27" s="1057" t="s">
        <v>1175</v>
      </c>
      <c r="B27" s="1083">
        <v>654</v>
      </c>
      <c r="C27" s="1083">
        <v>462</v>
      </c>
      <c r="D27" s="1083">
        <v>85</v>
      </c>
      <c r="E27" s="1071" t="s">
        <v>148</v>
      </c>
      <c r="F27" s="1071" t="s">
        <v>148</v>
      </c>
      <c r="G27" s="1072">
        <v>65</v>
      </c>
      <c r="H27" s="1082">
        <f t="shared" si="3"/>
        <v>1266</v>
      </c>
      <c r="I27" s="1096">
        <f t="shared" si="1"/>
        <v>1.266</v>
      </c>
      <c r="J27" s="1057" t="s">
        <v>1157</v>
      </c>
    </row>
    <row r="28" spans="1:10" ht="12.75" customHeight="1">
      <c r="A28" s="1074" t="s">
        <v>1176</v>
      </c>
      <c r="B28" s="1075" t="s">
        <v>148</v>
      </c>
      <c r="C28" s="1085">
        <v>58</v>
      </c>
      <c r="D28" s="1075">
        <v>14</v>
      </c>
      <c r="E28" s="1075" t="s">
        <v>148</v>
      </c>
      <c r="F28" s="1075">
        <v>0</v>
      </c>
      <c r="G28" s="1076" t="s">
        <v>148</v>
      </c>
      <c r="H28" s="1086">
        <f t="shared" si="3"/>
        <v>72</v>
      </c>
      <c r="I28" s="1096">
        <f t="shared" si="1"/>
        <v>0.072</v>
      </c>
      <c r="J28" s="1074" t="s">
        <v>1157</v>
      </c>
    </row>
    <row r="29" spans="1:10" ht="12.75" customHeight="1">
      <c r="A29" s="1067" t="s">
        <v>1177</v>
      </c>
      <c r="B29" s="1078">
        <f aca="true" t="shared" si="4" ref="B29:G29">SUM(B12:B28)</f>
        <v>3081</v>
      </c>
      <c r="C29" s="1078">
        <f t="shared" si="4"/>
        <v>2483</v>
      </c>
      <c r="D29" s="1078">
        <f t="shared" si="4"/>
        <v>673</v>
      </c>
      <c r="E29" s="1078">
        <f t="shared" si="4"/>
        <v>330</v>
      </c>
      <c r="F29" s="1078">
        <f t="shared" si="4"/>
        <v>226</v>
      </c>
      <c r="G29" s="1079">
        <f t="shared" si="4"/>
        <v>398</v>
      </c>
      <c r="H29" s="1087">
        <f>SUM(B29:G29)</f>
        <v>7191</v>
      </c>
      <c r="I29" s="1080">
        <f t="shared" si="1"/>
        <v>7.191</v>
      </c>
      <c r="J29" s="1067" t="s">
        <v>1162</v>
      </c>
    </row>
    <row r="30" spans="7:8" ht="12.75" customHeight="1">
      <c r="G30" s="1081"/>
      <c r="H30" s="1082"/>
    </row>
    <row r="31" spans="1:10" ht="12.75" customHeight="1">
      <c r="A31" s="1057" t="s">
        <v>155</v>
      </c>
      <c r="B31" s="1083">
        <v>609</v>
      </c>
      <c r="C31" s="1083">
        <v>577</v>
      </c>
      <c r="D31" s="1083">
        <v>166</v>
      </c>
      <c r="E31" s="1083">
        <v>153</v>
      </c>
      <c r="F31" s="1071">
        <v>124</v>
      </c>
      <c r="G31" s="1072">
        <v>91</v>
      </c>
      <c r="H31" s="1082">
        <f aca="true" t="shared" si="5" ref="H31:H36">SUM(B31:G31)</f>
        <v>1720</v>
      </c>
      <c r="I31" s="1096">
        <f t="shared" si="1"/>
        <v>1.72</v>
      </c>
      <c r="J31" s="1057" t="s">
        <v>1157</v>
      </c>
    </row>
    <row r="32" spans="1:10" ht="12.75" customHeight="1">
      <c r="A32" s="1057" t="s">
        <v>151</v>
      </c>
      <c r="B32" s="1083">
        <v>5</v>
      </c>
      <c r="C32" s="1083">
        <v>80</v>
      </c>
      <c r="D32" s="1083">
        <v>30</v>
      </c>
      <c r="E32" s="1083">
        <v>12</v>
      </c>
      <c r="F32" s="1083">
        <v>2</v>
      </c>
      <c r="G32" s="1084">
        <v>27</v>
      </c>
      <c r="H32" s="1082">
        <f t="shared" si="5"/>
        <v>156</v>
      </c>
      <c r="I32" s="1096">
        <f t="shared" si="1"/>
        <v>0.156</v>
      </c>
      <c r="J32" s="1057" t="s">
        <v>1157</v>
      </c>
    </row>
    <row r="33" spans="1:10" ht="12.75" customHeight="1">
      <c r="A33" s="1057" t="s">
        <v>231</v>
      </c>
      <c r="B33" s="1083">
        <v>1372</v>
      </c>
      <c r="C33" s="1083">
        <v>2037</v>
      </c>
      <c r="D33" s="1083">
        <v>806</v>
      </c>
      <c r="E33" s="1083">
        <v>633</v>
      </c>
      <c r="F33" s="1083">
        <v>230</v>
      </c>
      <c r="G33" s="1072">
        <v>420</v>
      </c>
      <c r="H33" s="1082">
        <f t="shared" si="5"/>
        <v>5498</v>
      </c>
      <c r="I33" s="1096">
        <f t="shared" si="1"/>
        <v>5.498</v>
      </c>
      <c r="J33" s="1057" t="s">
        <v>1157</v>
      </c>
    </row>
    <row r="34" spans="1:10" ht="12.75" customHeight="1">
      <c r="A34" s="1057" t="s">
        <v>1178</v>
      </c>
      <c r="B34" s="1083">
        <v>190</v>
      </c>
      <c r="C34" s="1083">
        <v>1387</v>
      </c>
      <c r="D34" s="1083">
        <v>258</v>
      </c>
      <c r="E34" s="1083" t="s">
        <v>148</v>
      </c>
      <c r="F34" s="1083" t="s">
        <v>148</v>
      </c>
      <c r="G34" s="1084">
        <v>143</v>
      </c>
      <c r="H34" s="1082">
        <f t="shared" si="5"/>
        <v>1978</v>
      </c>
      <c r="I34" s="1096">
        <f t="shared" si="1"/>
        <v>1.978</v>
      </c>
      <c r="J34" s="1057" t="s">
        <v>1157</v>
      </c>
    </row>
    <row r="35" spans="1:10" ht="12.75" customHeight="1">
      <c r="A35" s="1074" t="s">
        <v>162</v>
      </c>
      <c r="B35" s="1085" t="s">
        <v>148</v>
      </c>
      <c r="C35" s="1085">
        <v>2</v>
      </c>
      <c r="D35" s="1085">
        <v>1</v>
      </c>
      <c r="E35" s="1085">
        <v>0</v>
      </c>
      <c r="F35" s="1085">
        <v>1</v>
      </c>
      <c r="G35" s="1088" t="s">
        <v>148</v>
      </c>
      <c r="H35" s="1086">
        <f t="shared" si="5"/>
        <v>4</v>
      </c>
      <c r="I35" s="1096">
        <f t="shared" si="1"/>
        <v>0.004</v>
      </c>
      <c r="J35" s="1074" t="s">
        <v>1157</v>
      </c>
    </row>
    <row r="36" spans="1:10" ht="12.75" customHeight="1">
      <c r="A36" s="1067" t="s">
        <v>1179</v>
      </c>
      <c r="B36" s="1078">
        <f aca="true" t="shared" si="6" ref="B36:G36">SUM(B32:B35)</f>
        <v>1567</v>
      </c>
      <c r="C36" s="1078">
        <f t="shared" si="6"/>
        <v>3506</v>
      </c>
      <c r="D36" s="1078">
        <f t="shared" si="6"/>
        <v>1095</v>
      </c>
      <c r="E36" s="1078">
        <f t="shared" si="6"/>
        <v>645</v>
      </c>
      <c r="F36" s="1078">
        <f t="shared" si="6"/>
        <v>233</v>
      </c>
      <c r="G36" s="1079">
        <f t="shared" si="6"/>
        <v>590</v>
      </c>
      <c r="H36" s="1087">
        <f t="shared" si="5"/>
        <v>7636</v>
      </c>
      <c r="I36" s="1080">
        <f t="shared" si="1"/>
        <v>7.636</v>
      </c>
      <c r="J36" s="1067" t="s">
        <v>1162</v>
      </c>
    </row>
    <row r="37" spans="7:8" ht="12.75" customHeight="1">
      <c r="G37" s="1081"/>
      <c r="H37" s="1082"/>
    </row>
    <row r="38" spans="1:10" ht="12.75" customHeight="1">
      <c r="A38" s="1057" t="s">
        <v>1180</v>
      </c>
      <c r="B38" s="1083">
        <v>59</v>
      </c>
      <c r="C38" s="1083">
        <v>58</v>
      </c>
      <c r="D38" s="1083">
        <v>112</v>
      </c>
      <c r="E38" s="1083" t="s">
        <v>148</v>
      </c>
      <c r="F38" s="1083">
        <v>3</v>
      </c>
      <c r="G38" s="1084">
        <v>32</v>
      </c>
      <c r="H38" s="1082">
        <f>SUM(B38:G38)</f>
        <v>264</v>
      </c>
      <c r="I38" s="1062">
        <f t="shared" si="1"/>
        <v>0.264</v>
      </c>
      <c r="J38" s="1057" t="s">
        <v>1157</v>
      </c>
    </row>
    <row r="39" spans="1:10" ht="12.75" customHeight="1">
      <c r="A39" s="1057" t="s">
        <v>153</v>
      </c>
      <c r="B39" s="1083">
        <v>100</v>
      </c>
      <c r="C39" s="1083">
        <v>2616</v>
      </c>
      <c r="D39" s="1083">
        <v>56362</v>
      </c>
      <c r="E39" s="1083">
        <v>79</v>
      </c>
      <c r="F39" s="1083">
        <v>542</v>
      </c>
      <c r="G39" s="1084">
        <v>266</v>
      </c>
      <c r="H39" s="1082">
        <f>SUM(B39:G39)</f>
        <v>59965</v>
      </c>
      <c r="I39" s="1062">
        <f t="shared" si="1"/>
        <v>59.965</v>
      </c>
      <c r="J39" s="1057" t="s">
        <v>1157</v>
      </c>
    </row>
    <row r="40" spans="1:10" ht="12.75" customHeight="1">
      <c r="A40" s="1074" t="s">
        <v>1181</v>
      </c>
      <c r="B40" s="1085">
        <v>4610</v>
      </c>
      <c r="C40" s="1085">
        <v>5248</v>
      </c>
      <c r="D40" s="1085">
        <v>1915</v>
      </c>
      <c r="E40" s="1085">
        <v>1745</v>
      </c>
      <c r="F40" s="1085">
        <v>855</v>
      </c>
      <c r="G40" s="1088">
        <v>1105</v>
      </c>
      <c r="H40" s="1086">
        <f>SUM(B40:G40)</f>
        <v>15478</v>
      </c>
      <c r="I40" s="1062">
        <f t="shared" si="1"/>
        <v>15.478</v>
      </c>
      <c r="J40" s="1074" t="s">
        <v>1157</v>
      </c>
    </row>
    <row r="41" spans="1:10" ht="12.75" customHeight="1">
      <c r="A41" s="1067" t="s">
        <v>1182</v>
      </c>
      <c r="B41" s="1078">
        <f aca="true" t="shared" si="7" ref="B41:G41">SUM(B38:B40)</f>
        <v>4769</v>
      </c>
      <c r="C41" s="1078">
        <f t="shared" si="7"/>
        <v>7922</v>
      </c>
      <c r="D41" s="1078">
        <f t="shared" si="7"/>
        <v>58389</v>
      </c>
      <c r="E41" s="1078">
        <f t="shared" si="7"/>
        <v>1824</v>
      </c>
      <c r="F41" s="1078">
        <f t="shared" si="7"/>
        <v>1400</v>
      </c>
      <c r="G41" s="1079">
        <f t="shared" si="7"/>
        <v>1403</v>
      </c>
      <c r="H41" s="1087">
        <f>SUM(B41:G41)</f>
        <v>75707</v>
      </c>
      <c r="I41" s="1080">
        <f t="shared" si="1"/>
        <v>75.707</v>
      </c>
      <c r="J41" s="1067" t="s">
        <v>1162</v>
      </c>
    </row>
    <row r="42" spans="7:8" ht="12.75" customHeight="1">
      <c r="G42" s="1081"/>
      <c r="H42" s="1082"/>
    </row>
    <row r="43" spans="1:9" ht="12.75" customHeight="1">
      <c r="A43" s="1057" t="s">
        <v>1183</v>
      </c>
      <c r="B43" s="1083">
        <f>((B10+B29)+B36)+B41</f>
        <v>9517</v>
      </c>
      <c r="C43" s="1083">
        <f>(((C10+C29)+C36)+C41)</f>
        <v>14263</v>
      </c>
      <c r="D43" s="1083">
        <f>((D10+D29)+D36)+D41</f>
        <v>60218</v>
      </c>
      <c r="E43" s="1083">
        <f>(((E10+E29)+E36)+E41)</f>
        <v>2866</v>
      </c>
      <c r="F43" s="1083">
        <f>(((F10+F29)+F36)+F41)</f>
        <v>1892</v>
      </c>
      <c r="G43" s="1084">
        <f>(((G10+G29)+G36)+G41)</f>
        <v>2567</v>
      </c>
      <c r="H43" s="1082">
        <f>SUM(B43:G43)</f>
        <v>91323</v>
      </c>
      <c r="I43" s="1062">
        <f t="shared" si="1"/>
        <v>91.323</v>
      </c>
    </row>
    <row r="44" spans="1:11" ht="12.75" customHeight="1">
      <c r="A44" s="1057" t="s">
        <v>1184</v>
      </c>
      <c r="B44" s="1083">
        <v>10290</v>
      </c>
      <c r="C44" s="1083">
        <v>15764</v>
      </c>
      <c r="D44" s="1083">
        <v>66783</v>
      </c>
      <c r="E44" s="1083">
        <v>3408</v>
      </c>
      <c r="F44" s="1083">
        <v>2418</v>
      </c>
      <c r="G44" s="1084">
        <v>2927</v>
      </c>
      <c r="H44" s="1082">
        <f>SUM(B44:G44)</f>
        <v>101590</v>
      </c>
      <c r="I44" s="1062">
        <f t="shared" si="1"/>
        <v>101.59</v>
      </c>
      <c r="J44" s="1057" t="s">
        <v>1157</v>
      </c>
      <c r="K44" s="1057" t="s">
        <v>1185</v>
      </c>
    </row>
    <row r="45" spans="7:8" ht="12.75" customHeight="1">
      <c r="G45" s="1081"/>
      <c r="H45" s="1082"/>
    </row>
    <row r="46" spans="1:11" ht="12.75" customHeight="1">
      <c r="A46" s="1057" t="s">
        <v>1186</v>
      </c>
      <c r="B46" s="1083">
        <v>3</v>
      </c>
      <c r="C46" s="1083" t="s">
        <v>148</v>
      </c>
      <c r="D46" s="1083">
        <v>481</v>
      </c>
      <c r="E46" s="1083" t="s">
        <v>148</v>
      </c>
      <c r="F46" s="1083">
        <v>0</v>
      </c>
      <c r="G46" s="1084" t="s">
        <v>148</v>
      </c>
      <c r="H46" s="1082">
        <f>SUM(B46:G46)</f>
        <v>484</v>
      </c>
      <c r="I46" s="1062">
        <f t="shared" si="1"/>
        <v>0.484</v>
      </c>
      <c r="J46" s="1057" t="s">
        <v>1187</v>
      </c>
      <c r="K46" s="1057"/>
    </row>
    <row r="47" spans="1:10" ht="12.75" customHeight="1">
      <c r="A47" s="1074" t="s">
        <v>258</v>
      </c>
      <c r="B47" s="1085">
        <v>294</v>
      </c>
      <c r="C47" s="1085">
        <v>247</v>
      </c>
      <c r="D47" s="1085">
        <v>766</v>
      </c>
      <c r="E47" s="1085">
        <v>0</v>
      </c>
      <c r="F47" s="1085">
        <v>0</v>
      </c>
      <c r="G47" s="1088">
        <v>2011</v>
      </c>
      <c r="H47" s="1086">
        <f>SUM(B47:G47)</f>
        <v>3318</v>
      </c>
      <c r="I47" s="1062">
        <f t="shared" si="1"/>
        <v>3.318</v>
      </c>
      <c r="J47" s="1074" t="s">
        <v>1187</v>
      </c>
    </row>
    <row r="48" spans="1:10" ht="12.75" customHeight="1">
      <c r="A48" s="1067" t="s">
        <v>1188</v>
      </c>
      <c r="B48" s="1078">
        <f aca="true" t="shared" si="8" ref="B48:G48">SUM(B46:B47)</f>
        <v>297</v>
      </c>
      <c r="C48" s="1078">
        <f t="shared" si="8"/>
        <v>247</v>
      </c>
      <c r="D48" s="1078">
        <f t="shared" si="8"/>
        <v>1247</v>
      </c>
      <c r="E48" s="1078">
        <f t="shared" si="8"/>
        <v>0</v>
      </c>
      <c r="F48" s="1078">
        <f t="shared" si="8"/>
        <v>0</v>
      </c>
      <c r="G48" s="1079">
        <f t="shared" si="8"/>
        <v>2011</v>
      </c>
      <c r="H48" s="1087">
        <f>SUM(B48:G48)</f>
        <v>3802</v>
      </c>
      <c r="I48" s="1080">
        <f t="shared" si="1"/>
        <v>3.802</v>
      </c>
      <c r="J48" s="1067" t="s">
        <v>1162</v>
      </c>
    </row>
    <row r="49" spans="7:8" ht="12.75" customHeight="1">
      <c r="G49" s="1081"/>
      <c r="H49" s="1082"/>
    </row>
    <row r="50" spans="1:10" ht="12.75" customHeight="1">
      <c r="A50" s="1057" t="s">
        <v>1189</v>
      </c>
      <c r="B50" s="1083">
        <v>475</v>
      </c>
      <c r="C50" s="1083">
        <v>577</v>
      </c>
      <c r="D50" s="1083">
        <v>1289</v>
      </c>
      <c r="E50" s="1083">
        <v>208</v>
      </c>
      <c r="F50" s="1083">
        <v>349</v>
      </c>
      <c r="G50" s="1072">
        <v>426</v>
      </c>
      <c r="H50" s="1082">
        <f>SUM(B50:G50)</f>
        <v>3324</v>
      </c>
      <c r="I50" s="1062">
        <f t="shared" si="1"/>
        <v>3.324</v>
      </c>
      <c r="J50" s="1057" t="s">
        <v>1190</v>
      </c>
    </row>
    <row r="51" spans="7:8" ht="12.75" customHeight="1">
      <c r="G51" s="1081"/>
      <c r="H51" s="1082"/>
    </row>
    <row r="52" spans="1:10" ht="12.75" customHeight="1">
      <c r="A52" s="1057" t="s">
        <v>1191</v>
      </c>
      <c r="B52" s="1083" t="s">
        <v>148</v>
      </c>
      <c r="C52" s="1083">
        <v>35</v>
      </c>
      <c r="D52" s="1083">
        <v>38</v>
      </c>
      <c r="E52" s="1083">
        <v>14</v>
      </c>
      <c r="F52" s="1083">
        <v>6</v>
      </c>
      <c r="G52" s="1084">
        <v>8</v>
      </c>
      <c r="H52" s="1082">
        <f aca="true" t="shared" si="9" ref="H52:H59">SUM(B52:G52)</f>
        <v>101</v>
      </c>
      <c r="I52" s="1062">
        <f t="shared" si="1"/>
        <v>0.101</v>
      </c>
      <c r="J52" s="1057" t="s">
        <v>1192</v>
      </c>
    </row>
    <row r="53" spans="1:10" ht="12.75" customHeight="1">
      <c r="A53" s="1057" t="s">
        <v>1193</v>
      </c>
      <c r="B53" s="1083">
        <v>401</v>
      </c>
      <c r="C53" s="1083">
        <v>659</v>
      </c>
      <c r="D53" s="1083">
        <v>409</v>
      </c>
      <c r="E53" s="1083">
        <v>259</v>
      </c>
      <c r="F53" s="1083">
        <v>148</v>
      </c>
      <c r="G53" s="1084">
        <v>362</v>
      </c>
      <c r="H53" s="1082">
        <f t="shared" si="9"/>
        <v>2238</v>
      </c>
      <c r="I53" s="1062">
        <f t="shared" si="1"/>
        <v>2.238</v>
      </c>
      <c r="J53" s="1057" t="s">
        <v>1192</v>
      </c>
    </row>
    <row r="54" spans="1:10" ht="12.75" customHeight="1">
      <c r="A54" s="1057" t="s">
        <v>1194</v>
      </c>
      <c r="B54" s="1083">
        <v>5</v>
      </c>
      <c r="C54" s="1083">
        <v>187</v>
      </c>
      <c r="D54" s="1083">
        <v>44462</v>
      </c>
      <c r="E54" s="1083">
        <v>379</v>
      </c>
      <c r="F54" s="1083">
        <v>2</v>
      </c>
      <c r="G54" s="1084">
        <v>13</v>
      </c>
      <c r="H54" s="1082">
        <f t="shared" si="9"/>
        <v>45048</v>
      </c>
      <c r="I54" s="1062">
        <f t="shared" si="1"/>
        <v>45.048</v>
      </c>
      <c r="J54" s="1057" t="s">
        <v>1192</v>
      </c>
    </row>
    <row r="55" spans="1:10" ht="12.75" customHeight="1">
      <c r="A55" s="1057" t="s">
        <v>6</v>
      </c>
      <c r="B55" s="1083" t="s">
        <v>148</v>
      </c>
      <c r="C55" s="1083">
        <v>13368</v>
      </c>
      <c r="D55" s="1083">
        <v>299</v>
      </c>
      <c r="E55" s="1083">
        <v>2</v>
      </c>
      <c r="F55" s="1083" t="s">
        <v>148</v>
      </c>
      <c r="G55" s="1084" t="s">
        <v>148</v>
      </c>
      <c r="H55" s="1082">
        <f t="shared" si="9"/>
        <v>13669</v>
      </c>
      <c r="I55" s="1062">
        <f t="shared" si="1"/>
        <v>13.669</v>
      </c>
      <c r="J55" s="1057" t="s">
        <v>1192</v>
      </c>
    </row>
    <row r="56" spans="1:10" ht="12.75" customHeight="1">
      <c r="A56" s="1057" t="s">
        <v>1195</v>
      </c>
      <c r="B56" s="1083" t="s">
        <v>148</v>
      </c>
      <c r="C56" s="1083" t="s">
        <v>148</v>
      </c>
      <c r="D56" s="1083">
        <v>1</v>
      </c>
      <c r="E56" s="1083" t="s">
        <v>148</v>
      </c>
      <c r="F56" s="1083" t="s">
        <v>148</v>
      </c>
      <c r="G56" s="1084">
        <v>6</v>
      </c>
      <c r="H56" s="1082">
        <f t="shared" si="9"/>
        <v>7</v>
      </c>
      <c r="I56" s="1062">
        <f t="shared" si="1"/>
        <v>0.007</v>
      </c>
      <c r="J56" s="1057" t="s">
        <v>1192</v>
      </c>
    </row>
    <row r="57" spans="1:10" ht="12.75" customHeight="1">
      <c r="A57" s="1057" t="s">
        <v>176</v>
      </c>
      <c r="B57" s="1083">
        <v>129</v>
      </c>
      <c r="C57" s="1083">
        <v>162</v>
      </c>
      <c r="D57" s="1083">
        <v>112</v>
      </c>
      <c r="E57" s="1083" t="s">
        <v>148</v>
      </c>
      <c r="F57" s="1083" t="s">
        <v>148</v>
      </c>
      <c r="G57" s="1084" t="s">
        <v>148</v>
      </c>
      <c r="H57" s="1082">
        <f t="shared" si="9"/>
        <v>403</v>
      </c>
      <c r="I57" s="1062">
        <f t="shared" si="1"/>
        <v>0.403</v>
      </c>
      <c r="J57" s="1057" t="s">
        <v>1192</v>
      </c>
    </row>
    <row r="58" spans="1:11" ht="12.75" customHeight="1">
      <c r="A58" s="1074" t="s">
        <v>177</v>
      </c>
      <c r="B58" s="1085">
        <v>208</v>
      </c>
      <c r="C58" s="1085">
        <v>337</v>
      </c>
      <c r="D58" s="1085">
        <v>484</v>
      </c>
      <c r="E58" s="1085">
        <v>131</v>
      </c>
      <c r="F58" s="1085">
        <v>55</v>
      </c>
      <c r="G58" s="1088">
        <v>185</v>
      </c>
      <c r="H58" s="1086">
        <f t="shared" si="9"/>
        <v>1400</v>
      </c>
      <c r="I58" s="1062">
        <f t="shared" si="1"/>
        <v>1.4</v>
      </c>
      <c r="J58" s="1074" t="s">
        <v>1192</v>
      </c>
      <c r="K58" s="1089"/>
    </row>
    <row r="59" spans="1:10" ht="12.75" customHeight="1">
      <c r="A59" s="1067" t="s">
        <v>1196</v>
      </c>
      <c r="B59" s="1078">
        <v>866</v>
      </c>
      <c r="C59" s="1078">
        <v>14804</v>
      </c>
      <c r="D59" s="1078">
        <v>45811</v>
      </c>
      <c r="E59" s="1078">
        <v>874</v>
      </c>
      <c r="F59" s="1078">
        <v>348</v>
      </c>
      <c r="G59" s="1079">
        <v>705</v>
      </c>
      <c r="H59" s="1087">
        <f t="shared" si="9"/>
        <v>63408</v>
      </c>
      <c r="I59" s="1080">
        <f t="shared" si="1"/>
        <v>63.408</v>
      </c>
      <c r="J59" s="1067" t="s">
        <v>1187</v>
      </c>
    </row>
    <row r="60" spans="1:10" ht="12.75" customHeight="1">
      <c r="A60" s="1090"/>
      <c r="B60" s="1091"/>
      <c r="C60" s="1091"/>
      <c r="D60" s="1091"/>
      <c r="E60" s="1091"/>
      <c r="F60" s="1091"/>
      <c r="G60" s="1084"/>
      <c r="H60" s="1082"/>
      <c r="J60" s="1090"/>
    </row>
    <row r="61" spans="1:10" ht="12.75" customHeight="1">
      <c r="A61" s="1057" t="s">
        <v>1197</v>
      </c>
      <c r="B61" s="1083">
        <v>79</v>
      </c>
      <c r="C61" s="1083">
        <v>77</v>
      </c>
      <c r="D61" s="1083">
        <v>20</v>
      </c>
      <c r="E61" s="1083">
        <v>17</v>
      </c>
      <c r="F61" s="1083">
        <v>10</v>
      </c>
      <c r="G61" s="1084">
        <v>17</v>
      </c>
      <c r="H61" s="1082">
        <f>SUM(B61:G61)</f>
        <v>220</v>
      </c>
      <c r="I61" s="1062">
        <f t="shared" si="1"/>
        <v>0.22</v>
      </c>
      <c r="J61" s="1057" t="s">
        <v>1157</v>
      </c>
    </row>
    <row r="62" spans="7:8" ht="12.75" customHeight="1">
      <c r="G62" s="1081"/>
      <c r="H62" s="1082"/>
    </row>
    <row r="63" spans="1:11" ht="12.75" customHeight="1">
      <c r="A63" s="1057" t="s">
        <v>169</v>
      </c>
      <c r="B63" s="1083">
        <v>2421</v>
      </c>
      <c r="C63" s="1083">
        <v>4287</v>
      </c>
      <c r="D63" s="1083">
        <v>2883</v>
      </c>
      <c r="E63" s="1083">
        <v>2070</v>
      </c>
      <c r="F63" s="1083">
        <v>384</v>
      </c>
      <c r="G63" s="1084">
        <v>3241</v>
      </c>
      <c r="H63" s="1082">
        <f aca="true" t="shared" si="10" ref="H63:H73">SUM(B63:G63)</f>
        <v>15286</v>
      </c>
      <c r="I63" s="1062">
        <f t="shared" si="1"/>
        <v>15.286</v>
      </c>
      <c r="J63" s="1057" t="s">
        <v>1198</v>
      </c>
      <c r="K63" s="1089"/>
    </row>
    <row r="64" spans="1:10" ht="12.75" customHeight="1">
      <c r="A64" s="1057" t="s">
        <v>1199</v>
      </c>
      <c r="B64" s="1083">
        <v>3</v>
      </c>
      <c r="C64" s="1083">
        <v>9</v>
      </c>
      <c r="D64" s="1083" t="s">
        <v>1160</v>
      </c>
      <c r="E64" s="1083" t="s">
        <v>148</v>
      </c>
      <c r="F64" s="1083" t="s">
        <v>148</v>
      </c>
      <c r="G64" s="1084" t="s">
        <v>148</v>
      </c>
      <c r="H64" s="1082">
        <f t="shared" si="10"/>
        <v>12</v>
      </c>
      <c r="I64" s="1062">
        <f t="shared" si="1"/>
        <v>0.012</v>
      </c>
      <c r="J64" s="1057" t="s">
        <v>1198</v>
      </c>
    </row>
    <row r="65" spans="1:10" ht="12.75" customHeight="1">
      <c r="A65" s="1057" t="s">
        <v>559</v>
      </c>
      <c r="B65" s="1083">
        <v>15</v>
      </c>
      <c r="C65" s="1083">
        <v>34</v>
      </c>
      <c r="D65" s="1083">
        <v>15</v>
      </c>
      <c r="E65" s="1083">
        <v>4</v>
      </c>
      <c r="F65" s="1083" t="s">
        <v>148</v>
      </c>
      <c r="G65" s="1084">
        <v>8</v>
      </c>
      <c r="H65" s="1082">
        <f t="shared" si="10"/>
        <v>76</v>
      </c>
      <c r="I65" s="1062">
        <f t="shared" si="1"/>
        <v>0.076</v>
      </c>
      <c r="J65" s="1057" t="s">
        <v>1198</v>
      </c>
    </row>
    <row r="66" spans="1:10" ht="12.75" customHeight="1">
      <c r="A66" s="1057" t="s">
        <v>1200</v>
      </c>
      <c r="B66" s="1083">
        <v>24</v>
      </c>
      <c r="C66" s="1083">
        <v>51</v>
      </c>
      <c r="D66" s="1083">
        <v>1</v>
      </c>
      <c r="E66" s="1083" t="s">
        <v>148</v>
      </c>
      <c r="F66" s="1083" t="s">
        <v>148</v>
      </c>
      <c r="G66" s="1084" t="s">
        <v>148</v>
      </c>
      <c r="H66" s="1082">
        <f t="shared" si="10"/>
        <v>76</v>
      </c>
      <c r="I66" s="1062">
        <f t="shared" si="1"/>
        <v>0.076</v>
      </c>
      <c r="J66" s="1057" t="s">
        <v>1198</v>
      </c>
    </row>
    <row r="67" spans="1:10" ht="12.75" customHeight="1">
      <c r="A67" s="1057" t="s">
        <v>207</v>
      </c>
      <c r="B67" s="1083">
        <v>445</v>
      </c>
      <c r="C67" s="1083">
        <v>498</v>
      </c>
      <c r="D67" s="1083">
        <v>15</v>
      </c>
      <c r="E67" s="1083">
        <v>123</v>
      </c>
      <c r="F67" s="1083">
        <v>45</v>
      </c>
      <c r="G67" s="1084">
        <v>23</v>
      </c>
      <c r="H67" s="1082">
        <f t="shared" si="10"/>
        <v>1149</v>
      </c>
      <c r="I67" s="1062">
        <f t="shared" si="1"/>
        <v>1.149</v>
      </c>
      <c r="J67" s="1057" t="s">
        <v>1198</v>
      </c>
    </row>
    <row r="68" spans="1:10" ht="12.75" customHeight="1">
      <c r="A68" s="1057" t="s">
        <v>175</v>
      </c>
      <c r="B68" s="1083">
        <v>177</v>
      </c>
      <c r="C68" s="1083">
        <v>288</v>
      </c>
      <c r="D68" s="1083">
        <v>31</v>
      </c>
      <c r="E68" s="1083">
        <v>16</v>
      </c>
      <c r="F68" s="1083">
        <v>8</v>
      </c>
      <c r="G68" s="1084">
        <v>26</v>
      </c>
      <c r="H68" s="1082">
        <f t="shared" si="10"/>
        <v>546</v>
      </c>
      <c r="I68" s="1062">
        <f t="shared" si="1"/>
        <v>0.546</v>
      </c>
      <c r="J68" s="1057" t="s">
        <v>1198</v>
      </c>
    </row>
    <row r="69" spans="1:10" ht="12.75" customHeight="1">
      <c r="A69" s="1057" t="s">
        <v>1201</v>
      </c>
      <c r="B69" s="1083">
        <v>37</v>
      </c>
      <c r="C69" s="1083">
        <v>39</v>
      </c>
      <c r="D69" s="1083">
        <v>11</v>
      </c>
      <c r="E69" s="1083" t="s">
        <v>148</v>
      </c>
      <c r="F69" s="1083" t="s">
        <v>148</v>
      </c>
      <c r="G69" s="1084">
        <v>9</v>
      </c>
      <c r="H69" s="1082">
        <f t="shared" si="10"/>
        <v>96</v>
      </c>
      <c r="I69" s="1062">
        <f t="shared" si="1"/>
        <v>0.096</v>
      </c>
      <c r="J69" s="1057" t="s">
        <v>1198</v>
      </c>
    </row>
    <row r="70" spans="1:11" ht="12.75" customHeight="1">
      <c r="A70" s="1057" t="s">
        <v>173</v>
      </c>
      <c r="B70" s="1083">
        <v>503</v>
      </c>
      <c r="C70" s="1083">
        <v>182</v>
      </c>
      <c r="D70" s="1083">
        <v>35</v>
      </c>
      <c r="E70" s="1083">
        <v>48</v>
      </c>
      <c r="F70" s="1083">
        <v>129</v>
      </c>
      <c r="G70" s="1084">
        <v>167</v>
      </c>
      <c r="H70" s="1082">
        <f t="shared" si="10"/>
        <v>1064</v>
      </c>
      <c r="I70" s="1062">
        <f t="shared" si="1"/>
        <v>1.064</v>
      </c>
      <c r="J70" s="1057" t="s">
        <v>1198</v>
      </c>
      <c r="K70" s="1089"/>
    </row>
    <row r="71" spans="1:10" ht="12.75" customHeight="1">
      <c r="A71" s="1057" t="s">
        <v>1202</v>
      </c>
      <c r="B71" s="1083">
        <v>3633</v>
      </c>
      <c r="C71" s="1083">
        <v>5400</v>
      </c>
      <c r="D71" s="1083">
        <v>2994</v>
      </c>
      <c r="E71" s="1083">
        <v>2278</v>
      </c>
      <c r="F71" s="1083">
        <v>580</v>
      </c>
      <c r="G71" s="1084">
        <v>3480</v>
      </c>
      <c r="H71" s="1082">
        <f t="shared" si="10"/>
        <v>18365</v>
      </c>
      <c r="I71" s="1062">
        <f t="shared" si="1"/>
        <v>18.365</v>
      </c>
      <c r="J71" s="1057" t="s">
        <v>1198</v>
      </c>
    </row>
    <row r="72" spans="1:10" ht="12.75" customHeight="1">
      <c r="A72" s="1074" t="s">
        <v>470</v>
      </c>
      <c r="B72" s="1085">
        <v>38</v>
      </c>
      <c r="C72" s="1085">
        <v>16</v>
      </c>
      <c r="D72" s="1085">
        <v>21</v>
      </c>
      <c r="E72" s="1085">
        <v>8</v>
      </c>
      <c r="F72" s="1085">
        <v>0</v>
      </c>
      <c r="G72" s="1088">
        <v>68</v>
      </c>
      <c r="H72" s="1086">
        <f t="shared" si="10"/>
        <v>151</v>
      </c>
      <c r="I72" s="1062">
        <f aca="true" t="shared" si="11" ref="I72:I98">H72/1000</f>
        <v>0.151</v>
      </c>
      <c r="J72" s="1074" t="s">
        <v>1198</v>
      </c>
    </row>
    <row r="73" spans="1:10" ht="12.75" customHeight="1">
      <c r="A73" s="1067" t="s">
        <v>1203</v>
      </c>
      <c r="B73" s="1078">
        <v>3672</v>
      </c>
      <c r="C73" s="1078">
        <v>5416</v>
      </c>
      <c r="D73" s="1078">
        <v>3015</v>
      </c>
      <c r="E73" s="1078">
        <v>2285</v>
      </c>
      <c r="F73" s="1078">
        <v>580</v>
      </c>
      <c r="G73" s="1079">
        <v>3547</v>
      </c>
      <c r="H73" s="1087">
        <f t="shared" si="10"/>
        <v>18515</v>
      </c>
      <c r="I73" s="1080">
        <f t="shared" si="11"/>
        <v>18.515</v>
      </c>
      <c r="J73" s="1067" t="s">
        <v>1187</v>
      </c>
    </row>
    <row r="74" spans="7:8" ht="12.75" customHeight="1">
      <c r="G74" s="1081"/>
      <c r="H74" s="1082"/>
    </row>
    <row r="75" spans="1:11" ht="12.75" customHeight="1">
      <c r="A75" s="1057" t="s">
        <v>1138</v>
      </c>
      <c r="B75" s="1083">
        <v>55</v>
      </c>
      <c r="C75" s="1083" t="s">
        <v>148</v>
      </c>
      <c r="D75" s="1083">
        <v>512</v>
      </c>
      <c r="E75" s="1083" t="s">
        <v>148</v>
      </c>
      <c r="F75" s="1083">
        <v>0</v>
      </c>
      <c r="G75" s="1084">
        <v>379</v>
      </c>
      <c r="H75" s="1082">
        <f aca="true" t="shared" si="12" ref="H75:H83">SUM(B75:G75)</f>
        <v>946</v>
      </c>
      <c r="I75" s="1062">
        <f t="shared" si="11"/>
        <v>0.946</v>
      </c>
      <c r="J75" s="1057" t="s">
        <v>1187</v>
      </c>
      <c r="K75" s="1057" t="s">
        <v>1204</v>
      </c>
    </row>
    <row r="76" spans="1:10" ht="12.75" customHeight="1">
      <c r="A76" s="1057" t="s">
        <v>1205</v>
      </c>
      <c r="B76" s="1083">
        <v>3563</v>
      </c>
      <c r="C76" s="1083">
        <v>2432</v>
      </c>
      <c r="D76" s="1083">
        <v>3272</v>
      </c>
      <c r="E76" s="1083">
        <v>226</v>
      </c>
      <c r="F76" s="1083">
        <v>41</v>
      </c>
      <c r="G76" s="1084">
        <v>5368</v>
      </c>
      <c r="H76" s="1082">
        <f t="shared" si="12"/>
        <v>14902</v>
      </c>
      <c r="I76" s="1062">
        <f t="shared" si="11"/>
        <v>14.902</v>
      </c>
      <c r="J76" s="1057" t="s">
        <v>1187</v>
      </c>
    </row>
    <row r="77" spans="1:10" ht="12.75" customHeight="1">
      <c r="A77" s="1057" t="s">
        <v>1206</v>
      </c>
      <c r="B77" s="1083">
        <v>24174</v>
      </c>
      <c r="C77" s="1083">
        <v>13895</v>
      </c>
      <c r="D77" s="1083">
        <v>23516</v>
      </c>
      <c r="E77" s="1083">
        <v>12640</v>
      </c>
      <c r="F77" s="1083">
        <v>1653</v>
      </c>
      <c r="G77" s="1084">
        <v>87403</v>
      </c>
      <c r="H77" s="1082">
        <f t="shared" si="12"/>
        <v>163281</v>
      </c>
      <c r="I77" s="1062">
        <f t="shared" si="11"/>
        <v>163.281</v>
      </c>
      <c r="J77" s="1057" t="s">
        <v>1187</v>
      </c>
    </row>
    <row r="78" spans="1:10" ht="12.75" customHeight="1">
      <c r="A78" s="1057" t="s">
        <v>701</v>
      </c>
      <c r="B78" s="1083" t="s">
        <v>148</v>
      </c>
      <c r="C78" s="1083" t="s">
        <v>148</v>
      </c>
      <c r="D78" s="1083">
        <v>27206</v>
      </c>
      <c r="E78" s="1083">
        <v>0</v>
      </c>
      <c r="F78" s="1083" t="s">
        <v>148</v>
      </c>
      <c r="G78" s="1084">
        <v>211</v>
      </c>
      <c r="H78" s="1082">
        <f t="shared" si="12"/>
        <v>27417</v>
      </c>
      <c r="I78" s="1062">
        <f t="shared" si="11"/>
        <v>27.417</v>
      </c>
      <c r="J78" s="1057" t="s">
        <v>1187</v>
      </c>
    </row>
    <row r="79" spans="1:10" ht="12.75" customHeight="1">
      <c r="A79" s="1057" t="s">
        <v>702</v>
      </c>
      <c r="B79" s="1083">
        <v>0</v>
      </c>
      <c r="C79" s="1083">
        <v>0</v>
      </c>
      <c r="D79" s="1083">
        <v>16875</v>
      </c>
      <c r="E79" s="1083" t="s">
        <v>148</v>
      </c>
      <c r="F79" s="1083">
        <v>0</v>
      </c>
      <c r="G79" s="1084" t="s">
        <v>148</v>
      </c>
      <c r="H79" s="1082">
        <f t="shared" si="12"/>
        <v>16875</v>
      </c>
      <c r="I79" s="1062">
        <f t="shared" si="11"/>
        <v>16.875</v>
      </c>
      <c r="J79" s="1057" t="s">
        <v>1187</v>
      </c>
    </row>
    <row r="80" spans="1:10" ht="12.75" customHeight="1">
      <c r="A80" s="1057" t="s">
        <v>703</v>
      </c>
      <c r="B80" s="1083">
        <v>258</v>
      </c>
      <c r="C80" s="1083" t="s">
        <v>148</v>
      </c>
      <c r="D80" s="1083">
        <v>257</v>
      </c>
      <c r="E80" s="1083" t="s">
        <v>148</v>
      </c>
      <c r="F80" s="1083">
        <v>0</v>
      </c>
      <c r="G80" s="1084">
        <v>100</v>
      </c>
      <c r="H80" s="1082">
        <f t="shared" si="12"/>
        <v>615</v>
      </c>
      <c r="I80" s="1062">
        <f t="shared" si="11"/>
        <v>0.615</v>
      </c>
      <c r="J80" s="1057" t="s">
        <v>1187</v>
      </c>
    </row>
    <row r="81" spans="1:10" ht="12.75" customHeight="1">
      <c r="A81" s="1057" t="s">
        <v>1207</v>
      </c>
      <c r="B81" s="1071">
        <v>0</v>
      </c>
      <c r="C81" s="1071">
        <v>0</v>
      </c>
      <c r="D81" s="1071">
        <v>0</v>
      </c>
      <c r="E81" s="1071">
        <v>0</v>
      </c>
      <c r="F81" s="1071">
        <v>0</v>
      </c>
      <c r="G81" s="1072" t="s">
        <v>148</v>
      </c>
      <c r="H81" s="1082">
        <f t="shared" si="12"/>
        <v>0</v>
      </c>
      <c r="I81" s="1062">
        <f t="shared" si="11"/>
        <v>0</v>
      </c>
      <c r="J81" s="1057" t="s">
        <v>1187</v>
      </c>
    </row>
    <row r="82" spans="1:10" ht="12.75" customHeight="1">
      <c r="A82" s="1074" t="s">
        <v>1208</v>
      </c>
      <c r="B82" s="1075">
        <v>77</v>
      </c>
      <c r="C82" s="1075">
        <v>93</v>
      </c>
      <c r="D82" s="1075">
        <v>93</v>
      </c>
      <c r="E82" s="1075" t="s">
        <v>148</v>
      </c>
      <c r="F82" s="1075">
        <v>0</v>
      </c>
      <c r="G82" s="1076" t="s">
        <v>148</v>
      </c>
      <c r="H82" s="1086">
        <f t="shared" si="12"/>
        <v>263</v>
      </c>
      <c r="I82" s="1062">
        <f t="shared" si="11"/>
        <v>0.263</v>
      </c>
      <c r="J82" s="1074" t="s">
        <v>1187</v>
      </c>
    </row>
    <row r="83" spans="1:10" ht="12.75" customHeight="1">
      <c r="A83" s="1067" t="s">
        <v>1209</v>
      </c>
      <c r="B83" s="1078">
        <f aca="true" t="shared" si="13" ref="B83:G83">SUM(B75:B82)</f>
        <v>28127</v>
      </c>
      <c r="C83" s="1078">
        <f t="shared" si="13"/>
        <v>16420</v>
      </c>
      <c r="D83" s="1078">
        <f t="shared" si="13"/>
        <v>71731</v>
      </c>
      <c r="E83" s="1078">
        <f t="shared" si="13"/>
        <v>12866</v>
      </c>
      <c r="F83" s="1078">
        <f t="shared" si="13"/>
        <v>1694</v>
      </c>
      <c r="G83" s="1079">
        <f t="shared" si="13"/>
        <v>93461</v>
      </c>
      <c r="H83" s="1087">
        <f t="shared" si="12"/>
        <v>224299</v>
      </c>
      <c r="I83" s="1080">
        <f t="shared" si="11"/>
        <v>224.299</v>
      </c>
      <c r="J83" s="1067" t="s">
        <v>1162</v>
      </c>
    </row>
    <row r="84" spans="7:8" ht="12.75" customHeight="1">
      <c r="G84" s="1081"/>
      <c r="H84" s="1082"/>
    </row>
    <row r="85" spans="1:11" ht="12.75" customHeight="1">
      <c r="A85" s="1057" t="s">
        <v>1210</v>
      </c>
      <c r="B85" s="1083">
        <v>0</v>
      </c>
      <c r="C85" s="1083" t="s">
        <v>148</v>
      </c>
      <c r="D85" s="1083">
        <v>1364</v>
      </c>
      <c r="E85" s="1083">
        <v>0</v>
      </c>
      <c r="F85" s="1083">
        <v>0</v>
      </c>
      <c r="G85" s="1084">
        <v>0</v>
      </c>
      <c r="H85" s="1082">
        <f>SUM(B85:G85)</f>
        <v>1364</v>
      </c>
      <c r="I85" s="1062">
        <f t="shared" si="11"/>
        <v>1.364</v>
      </c>
      <c r="J85" s="1057" t="s">
        <v>1187</v>
      </c>
      <c r="K85" s="1057"/>
    </row>
    <row r="86" spans="1:10" ht="12.75" customHeight="1">
      <c r="A86" s="1057" t="s">
        <v>1211</v>
      </c>
      <c r="B86" s="1083">
        <v>0</v>
      </c>
      <c r="C86" s="1083">
        <v>0</v>
      </c>
      <c r="D86" s="1083">
        <v>0</v>
      </c>
      <c r="E86" s="1083">
        <v>0</v>
      </c>
      <c r="F86" s="1083">
        <v>0</v>
      </c>
      <c r="G86" s="1084">
        <v>0</v>
      </c>
      <c r="H86" s="1082">
        <f>SUM(B86:G86)</f>
        <v>0</v>
      </c>
      <c r="I86" s="1062">
        <f t="shared" si="11"/>
        <v>0</v>
      </c>
      <c r="J86" s="1057" t="s">
        <v>1187</v>
      </c>
    </row>
    <row r="87" spans="1:11" ht="12.75" customHeight="1">
      <c r="A87" s="1057" t="s">
        <v>1212</v>
      </c>
      <c r="B87" s="1083">
        <v>11732</v>
      </c>
      <c r="C87" s="1083">
        <v>41249</v>
      </c>
      <c r="D87" s="1083">
        <v>252447</v>
      </c>
      <c r="E87" s="1083">
        <v>71122</v>
      </c>
      <c r="F87" s="1083">
        <v>441</v>
      </c>
      <c r="G87" s="1084">
        <v>644962</v>
      </c>
      <c r="H87" s="1082">
        <f>SUM(B87:G87)</f>
        <v>1021953</v>
      </c>
      <c r="I87" s="1092">
        <f t="shared" si="11"/>
        <v>1021.953</v>
      </c>
      <c r="J87" s="1057" t="s">
        <v>1213</v>
      </c>
      <c r="K87" s="1061" t="s">
        <v>1355</v>
      </c>
    </row>
    <row r="88" spans="7:8" ht="12.75" customHeight="1">
      <c r="G88" s="1081"/>
      <c r="H88" s="1082"/>
    </row>
    <row r="89" spans="1:10" ht="15">
      <c r="A89" s="1057" t="s">
        <v>1214</v>
      </c>
      <c r="B89" s="1093">
        <v>3128</v>
      </c>
      <c r="C89" s="1083">
        <v>1234</v>
      </c>
      <c r="D89" s="1083">
        <v>0</v>
      </c>
      <c r="E89" s="1083">
        <v>0</v>
      </c>
      <c r="F89" s="1083">
        <v>0</v>
      </c>
      <c r="G89" s="1084">
        <v>0</v>
      </c>
      <c r="H89" s="1082">
        <f>SUM(B89:G89)</f>
        <v>4362</v>
      </c>
      <c r="I89" s="1062">
        <f t="shared" si="11"/>
        <v>4.362</v>
      </c>
      <c r="J89" s="1057" t="s">
        <v>1187</v>
      </c>
    </row>
    <row r="90" spans="7:8" ht="12.75" customHeight="1">
      <c r="G90" s="1081"/>
      <c r="H90" s="1082"/>
    </row>
    <row r="91" spans="1:10" ht="12.75" customHeight="1">
      <c r="A91" s="1057" t="s">
        <v>1215</v>
      </c>
      <c r="B91" s="1083">
        <v>81269</v>
      </c>
      <c r="C91" s="1083">
        <v>93811</v>
      </c>
      <c r="D91" s="1083">
        <v>197757</v>
      </c>
      <c r="E91" s="1083">
        <v>76877</v>
      </c>
      <c r="F91" s="1083">
        <v>9304</v>
      </c>
      <c r="G91" s="1084">
        <v>330986</v>
      </c>
      <c r="H91" s="1082">
        <f>SUM(B91:G91)</f>
        <v>790004</v>
      </c>
      <c r="I91" s="1092">
        <f t="shared" si="11"/>
        <v>790.004</v>
      </c>
      <c r="J91" s="1057" t="s">
        <v>1187</v>
      </c>
    </row>
    <row r="92" spans="7:8" ht="12.75" customHeight="1">
      <c r="G92" s="1081"/>
      <c r="H92" s="1082"/>
    </row>
    <row r="93" spans="1:10" ht="12.75" customHeight="1">
      <c r="A93" s="1057" t="s">
        <v>1216</v>
      </c>
      <c r="B93" s="1083">
        <v>3887</v>
      </c>
      <c r="C93" s="1083">
        <v>3164</v>
      </c>
      <c r="D93" s="1083">
        <v>4349</v>
      </c>
      <c r="E93" s="1083">
        <v>2356</v>
      </c>
      <c r="F93" s="1083">
        <v>770</v>
      </c>
      <c r="G93" s="1084">
        <v>3600</v>
      </c>
      <c r="H93" s="1082">
        <f>SUM(B93:G93)</f>
        <v>18126</v>
      </c>
      <c r="I93" s="1062">
        <f t="shared" si="11"/>
        <v>18.126</v>
      </c>
      <c r="J93" s="1057" t="s">
        <v>1213</v>
      </c>
    </row>
    <row r="94" spans="1:10" ht="12.75" customHeight="1">
      <c r="A94" s="1057" t="s">
        <v>671</v>
      </c>
      <c r="B94" s="1083">
        <v>4245</v>
      </c>
      <c r="C94" s="1083">
        <v>1856</v>
      </c>
      <c r="D94" s="1083">
        <v>1057</v>
      </c>
      <c r="E94" s="1083">
        <v>497</v>
      </c>
      <c r="F94" s="1083">
        <v>1286</v>
      </c>
      <c r="G94" s="1084">
        <v>103</v>
      </c>
      <c r="H94" s="1082">
        <f>SUM(B94:G94)</f>
        <v>9044</v>
      </c>
      <c r="I94" s="1062">
        <f t="shared" si="11"/>
        <v>9.044</v>
      </c>
      <c r="J94" s="1057" t="s">
        <v>1190</v>
      </c>
    </row>
    <row r="95" spans="1:10" ht="12.75" customHeight="1">
      <c r="A95" s="1057" t="s">
        <v>672</v>
      </c>
      <c r="B95" s="1083">
        <v>457</v>
      </c>
      <c r="C95" s="1083">
        <v>907</v>
      </c>
      <c r="D95" s="1083">
        <v>238</v>
      </c>
      <c r="E95" s="1083">
        <v>170</v>
      </c>
      <c r="F95" s="1083">
        <v>145</v>
      </c>
      <c r="G95" s="1084">
        <v>305</v>
      </c>
      <c r="H95" s="1082">
        <f>SUM(B95:G95)</f>
        <v>2222</v>
      </c>
      <c r="I95" s="1062">
        <f t="shared" si="11"/>
        <v>2.222</v>
      </c>
      <c r="J95" s="1057" t="s">
        <v>1190</v>
      </c>
    </row>
    <row r="96" spans="1:10" ht="12.75" customHeight="1">
      <c r="A96" s="1057" t="s">
        <v>680</v>
      </c>
      <c r="B96" s="1083">
        <v>1485</v>
      </c>
      <c r="C96" s="1094" t="s">
        <v>1217</v>
      </c>
      <c r="D96" s="1083">
        <v>930</v>
      </c>
      <c r="E96" s="1094" t="s">
        <v>1217</v>
      </c>
      <c r="F96" s="1083">
        <v>2581</v>
      </c>
      <c r="G96" s="1094" t="s">
        <v>1217</v>
      </c>
      <c r="H96" s="1082">
        <f>F96+D96+B96</f>
        <v>4996</v>
      </c>
      <c r="I96" s="1062">
        <f t="shared" si="11"/>
        <v>4.996</v>
      </c>
      <c r="J96" s="1057" t="s">
        <v>1190</v>
      </c>
    </row>
    <row r="97" spans="7:8" ht="12.75" customHeight="1">
      <c r="G97" s="1081"/>
      <c r="H97" s="1082"/>
    </row>
    <row r="98" spans="1:10" ht="12.75" customHeight="1">
      <c r="A98" s="1057" t="s">
        <v>1218</v>
      </c>
      <c r="B98" s="1083">
        <f aca="true" t="shared" si="14" ref="B98:G98">(((((((((((B44+B48)+B59)+B73)+B83)+B85)+B86)+B89)+B91)+B93)+B94)+B95)</f>
        <v>136238</v>
      </c>
      <c r="C98" s="1083">
        <f>C44+C48+C59+C73+C83+C86+C89+C91+C93+C94+C95</f>
        <v>153623</v>
      </c>
      <c r="D98" s="1083">
        <f t="shared" si="14"/>
        <v>393352</v>
      </c>
      <c r="E98" s="1083">
        <f t="shared" si="14"/>
        <v>99333</v>
      </c>
      <c r="F98" s="1083">
        <f t="shared" si="14"/>
        <v>16545</v>
      </c>
      <c r="G98" s="1084">
        <f t="shared" si="14"/>
        <v>437645</v>
      </c>
      <c r="H98" s="1082">
        <f>SUM(B98:G98)</f>
        <v>1236736</v>
      </c>
      <c r="I98" s="1092">
        <f t="shared" si="11"/>
        <v>1236.736</v>
      </c>
      <c r="J98" s="1057" t="s">
        <v>1162</v>
      </c>
    </row>
    <row r="99" spans="1:10" ht="12.75" customHeight="1">
      <c r="A99" s="1057"/>
      <c r="B99" s="1083"/>
      <c r="C99" s="1083"/>
      <c r="D99" s="1083"/>
      <c r="E99" s="1083"/>
      <c r="F99" s="1083"/>
      <c r="G99" s="1084"/>
      <c r="H99" s="1082"/>
      <c r="J99" s="1057"/>
    </row>
    <row r="100" spans="7:8" ht="12.75" customHeight="1">
      <c r="G100" s="1081"/>
      <c r="H100" s="1082"/>
    </row>
    <row r="101" spans="1:10" ht="12.75" customHeight="1">
      <c r="A101" s="1057" t="s">
        <v>1219</v>
      </c>
      <c r="B101" s="1083">
        <v>137</v>
      </c>
      <c r="C101" s="1083">
        <v>154</v>
      </c>
      <c r="D101" s="1083">
        <v>394</v>
      </c>
      <c r="E101" s="1083">
        <v>100</v>
      </c>
      <c r="F101" s="1083">
        <v>19</v>
      </c>
      <c r="G101" s="1084">
        <v>433</v>
      </c>
      <c r="H101" s="1082">
        <f>SUM(B101:G101)</f>
        <v>1237</v>
      </c>
      <c r="I101" s="1095" t="s">
        <v>942</v>
      </c>
      <c r="J101" s="1057" t="s">
        <v>1220</v>
      </c>
    </row>
    <row r="102" spans="1:10" ht="12.75" customHeight="1">
      <c r="A102" s="1057" t="s">
        <v>1221</v>
      </c>
      <c r="B102" s="1083">
        <v>14</v>
      </c>
      <c r="C102" s="1083">
        <v>17</v>
      </c>
      <c r="D102" s="1083">
        <v>98</v>
      </c>
      <c r="E102" s="1083">
        <v>12</v>
      </c>
      <c r="F102" s="1083">
        <v>3</v>
      </c>
      <c r="G102" s="1084">
        <v>37</v>
      </c>
      <c r="H102" s="1082">
        <f>SUM(B102:G102)</f>
        <v>181</v>
      </c>
      <c r="I102" s="1095" t="s">
        <v>942</v>
      </c>
      <c r="J102" s="1057" t="s">
        <v>1220</v>
      </c>
    </row>
    <row r="103" spans="1:10" ht="12.75" customHeight="1">
      <c r="A103" s="1057" t="s">
        <v>1222</v>
      </c>
      <c r="B103" s="1083">
        <v>13</v>
      </c>
      <c r="C103" s="1083">
        <v>16</v>
      </c>
      <c r="D103" s="1083">
        <v>37</v>
      </c>
      <c r="E103" s="1083">
        <v>17</v>
      </c>
      <c r="F103" s="1083">
        <v>2</v>
      </c>
      <c r="G103" s="1084">
        <v>47</v>
      </c>
      <c r="H103" s="1082">
        <f>SUM(B103:G103)</f>
        <v>132</v>
      </c>
      <c r="I103" s="1095" t="s">
        <v>942</v>
      </c>
      <c r="J103" s="1057" t="s">
        <v>1220</v>
      </c>
    </row>
    <row r="104" spans="1:10" ht="12.75" customHeight="1">
      <c r="A104" s="1057" t="s">
        <v>1223</v>
      </c>
      <c r="B104" s="1083">
        <v>164</v>
      </c>
      <c r="C104" s="1083">
        <v>187</v>
      </c>
      <c r="D104" s="1083">
        <v>529</v>
      </c>
      <c r="E104" s="1083">
        <v>129</v>
      </c>
      <c r="F104" s="1083">
        <v>24</v>
      </c>
      <c r="G104" s="1084">
        <v>517</v>
      </c>
      <c r="H104" s="1082">
        <f>SUM(B104:G104)</f>
        <v>1550</v>
      </c>
      <c r="I104" s="1095" t="s">
        <v>942</v>
      </c>
      <c r="J104" s="1057" t="s">
        <v>1220</v>
      </c>
    </row>
    <row r="105" spans="7:8" ht="12.75" customHeight="1">
      <c r="G105" s="1081"/>
      <c r="H105" s="1082"/>
    </row>
    <row r="106" spans="1:10" ht="12.75" customHeight="1">
      <c r="A106" s="1057" t="s">
        <v>1224</v>
      </c>
      <c r="B106" s="1083">
        <v>33</v>
      </c>
      <c r="C106" s="1083">
        <v>48</v>
      </c>
      <c r="D106" s="1083">
        <v>62</v>
      </c>
      <c r="E106" s="1083">
        <v>34</v>
      </c>
      <c r="F106" s="1083">
        <v>6</v>
      </c>
      <c r="G106" s="1084">
        <v>137</v>
      </c>
      <c r="H106" s="1082">
        <f>SUM(B106:G106)</f>
        <v>320</v>
      </c>
      <c r="I106" s="1095" t="s">
        <v>942</v>
      </c>
      <c r="J106" s="1057" t="s">
        <v>1220</v>
      </c>
    </row>
    <row r="107" spans="7:8" ht="12.75" customHeight="1">
      <c r="G107" s="1081"/>
      <c r="H107" s="1082"/>
    </row>
    <row r="108" spans="1:10" ht="12.75" customHeight="1">
      <c r="A108" s="1057" t="s">
        <v>1225</v>
      </c>
      <c r="B108" s="1083">
        <f aca="true" t="shared" si="15" ref="B108:G108">B104+B106</f>
        <v>197</v>
      </c>
      <c r="C108" s="1083">
        <f t="shared" si="15"/>
        <v>235</v>
      </c>
      <c r="D108" s="1083">
        <f t="shared" si="15"/>
        <v>591</v>
      </c>
      <c r="E108" s="1083">
        <f t="shared" si="15"/>
        <v>163</v>
      </c>
      <c r="F108" s="1083">
        <f t="shared" si="15"/>
        <v>30</v>
      </c>
      <c r="G108" s="1084">
        <f t="shared" si="15"/>
        <v>654</v>
      </c>
      <c r="H108" s="1082">
        <f>SUM(B108:G108)</f>
        <v>1870</v>
      </c>
      <c r="I108" s="1095" t="s">
        <v>942</v>
      </c>
      <c r="J108" s="1057" t="s">
        <v>1162</v>
      </c>
    </row>
    <row r="109" ht="12.75" customHeight="1"/>
    <row r="110" spans="3:8" ht="12.75" customHeight="1">
      <c r="C110" s="1089"/>
      <c r="H110" s="1089"/>
    </row>
    <row r="111" ht="12.75" customHeight="1"/>
    <row r="112" ht="12.75" customHeight="1"/>
    <row r="113" ht="12.75" customHeight="1">
      <c r="H113" s="1089"/>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J52"/>
  <sheetViews>
    <sheetView zoomScalePageLayoutView="0" workbookViewId="0" topLeftCell="A1">
      <selection activeCell="B42" sqref="B42"/>
    </sheetView>
  </sheetViews>
  <sheetFormatPr defaultColWidth="8.8515625" defaultRowHeight="12.75"/>
  <cols>
    <col min="1" max="1" width="33.00390625" style="0" customWidth="1"/>
    <col min="2" max="2" width="19.7109375" style="0" customWidth="1"/>
    <col min="3" max="3" width="11.421875" style="0" customWidth="1"/>
    <col min="4" max="4" width="9.7109375" style="0" customWidth="1"/>
    <col min="5" max="5" width="9.421875" style="0" customWidth="1"/>
    <col min="6" max="6" width="10.8515625" style="0" customWidth="1"/>
    <col min="7" max="11" width="9.140625" style="0" hidden="1" customWidth="1"/>
    <col min="12" max="12" width="8.8515625" style="0" customWidth="1"/>
    <col min="13" max="17" width="9.140625" style="0" hidden="1" customWidth="1"/>
    <col min="18" max="18" width="8.8515625" style="0" customWidth="1"/>
    <col min="19" max="23" width="9.140625" style="0" hidden="1" customWidth="1"/>
    <col min="24" max="24" width="11.28125" style="0" customWidth="1"/>
    <col min="25" max="25" width="14.421875" style="0" customWidth="1"/>
    <col min="26" max="26" width="13.140625" style="0" customWidth="1"/>
    <col min="27" max="27" width="11.8515625" style="0" customWidth="1"/>
    <col min="28" max="28" width="13.421875" style="0" customWidth="1"/>
    <col min="29" max="29" width="12.00390625" style="0" customWidth="1"/>
  </cols>
  <sheetData>
    <row r="1" ht="15">
      <c r="A1" s="1052" t="s">
        <v>1131</v>
      </c>
    </row>
    <row r="2" spans="2:28" ht="12.75">
      <c r="B2" s="1019" t="s">
        <v>969</v>
      </c>
      <c r="C2" s="1019" t="s">
        <v>965</v>
      </c>
      <c r="D2" s="1430" t="s">
        <v>1044</v>
      </c>
      <c r="E2" s="1430"/>
      <c r="F2" s="1431"/>
      <c r="G2" s="1422" t="s">
        <v>190</v>
      </c>
      <c r="H2" s="1422"/>
      <c r="I2" s="1422"/>
      <c r="J2" s="1422"/>
      <c r="K2" s="1422"/>
      <c r="L2" s="1422"/>
      <c r="M2" s="1422"/>
      <c r="N2" s="1422"/>
      <c r="O2" s="1422"/>
      <c r="P2" s="1422"/>
      <c r="Q2" s="1422"/>
      <c r="R2" s="1422"/>
      <c r="S2" s="1422"/>
      <c r="T2" s="1422"/>
      <c r="U2" s="1422"/>
      <c r="V2" s="1422"/>
      <c r="W2" s="1422"/>
      <c r="X2" s="1422"/>
      <c r="Y2" s="1422" t="s">
        <v>550</v>
      </c>
      <c r="Z2" s="1422"/>
      <c r="AA2" s="1422"/>
      <c r="AB2" s="1422"/>
    </row>
    <row r="3" spans="2:28" ht="12.75">
      <c r="B3" s="1424" t="s">
        <v>125</v>
      </c>
      <c r="C3" s="1426" t="s">
        <v>1053</v>
      </c>
      <c r="D3" s="174" t="s">
        <v>362</v>
      </c>
      <c r="E3" s="174" t="s">
        <v>140</v>
      </c>
      <c r="F3" s="174" t="s">
        <v>465</v>
      </c>
      <c r="G3" s="1427" t="s">
        <v>362</v>
      </c>
      <c r="H3" s="1428"/>
      <c r="I3" s="1428"/>
      <c r="J3" s="1428"/>
      <c r="K3" s="1428"/>
      <c r="L3" s="1429"/>
      <c r="M3" s="1343" t="s">
        <v>140</v>
      </c>
      <c r="N3" s="1423"/>
      <c r="O3" s="1423"/>
      <c r="P3" s="1423"/>
      <c r="Q3" s="1423"/>
      <c r="R3" s="1344"/>
      <c r="S3" s="464" t="s">
        <v>465</v>
      </c>
      <c r="T3" s="752"/>
      <c r="U3" s="752"/>
      <c r="V3" s="752"/>
      <c r="W3" s="752"/>
      <c r="X3" s="747" t="s">
        <v>465</v>
      </c>
      <c r="Y3" s="375" t="s">
        <v>362</v>
      </c>
      <c r="Z3" s="463" t="s">
        <v>140</v>
      </c>
      <c r="AA3" s="375" t="s">
        <v>465</v>
      </c>
      <c r="AB3" s="755" t="s">
        <v>134</v>
      </c>
    </row>
    <row r="4" spans="2:28" ht="12.75">
      <c r="B4" s="1425"/>
      <c r="C4" s="1425"/>
      <c r="D4" s="227" t="s">
        <v>33</v>
      </c>
      <c r="E4" s="227"/>
      <c r="F4" s="227"/>
      <c r="G4" s="223" t="s">
        <v>170</v>
      </c>
      <c r="H4" s="21"/>
      <c r="I4" s="21"/>
      <c r="J4" s="21"/>
      <c r="K4" s="279"/>
      <c r="L4" s="1016" t="s">
        <v>984</v>
      </c>
      <c r="M4" s="872"/>
      <c r="N4" s="872"/>
      <c r="O4" s="872"/>
      <c r="P4" s="872"/>
      <c r="Q4" s="872"/>
      <c r="R4" s="1415" t="s">
        <v>170</v>
      </c>
      <c r="S4" s="1415"/>
      <c r="T4" s="1415"/>
      <c r="U4" s="1415"/>
      <c r="V4" s="1415"/>
      <c r="W4" s="1415"/>
      <c r="X4" s="1416"/>
      <c r="Y4" s="1409" t="s">
        <v>457</v>
      </c>
      <c r="Z4" s="1352"/>
      <c r="AA4" s="1352"/>
      <c r="AB4" s="748" t="s">
        <v>942</v>
      </c>
    </row>
    <row r="6" spans="1:28" ht="12.75">
      <c r="A6" t="s">
        <v>368</v>
      </c>
      <c r="B6" s="14">
        <v>30900</v>
      </c>
      <c r="C6" s="1039"/>
      <c r="D6" s="14">
        <f>0.87*1002.57</f>
        <v>872.2359</v>
      </c>
      <c r="E6" s="857">
        <v>172.20000000000002</v>
      </c>
      <c r="F6" s="857">
        <v>43.050000000000004</v>
      </c>
      <c r="G6">
        <f>2000*1.97</f>
        <v>3940</v>
      </c>
      <c r="H6">
        <f>2000*1.81</f>
        <v>3620</v>
      </c>
      <c r="I6">
        <f>2000*1.75</f>
        <v>3500</v>
      </c>
      <c r="J6">
        <f>2000*1.67</f>
        <v>3340</v>
      </c>
      <c r="K6">
        <f>2000*1.9</f>
        <v>3800</v>
      </c>
      <c r="L6" s="25">
        <f>AVERAGE(G6:K6)*0.87</f>
        <v>3166.8</v>
      </c>
      <c r="M6" s="15">
        <v>6384</v>
      </c>
      <c r="N6" s="15">
        <v>5656</v>
      </c>
      <c r="O6" s="42">
        <v>5488</v>
      </c>
      <c r="P6" s="42">
        <v>5880</v>
      </c>
      <c r="Q6" s="15">
        <v>5432</v>
      </c>
      <c r="R6" s="15">
        <f>Grain!I10</f>
        <v>8383.199999999999</v>
      </c>
      <c r="S6" s="15">
        <v>2460</v>
      </c>
      <c r="T6" s="15">
        <v>2220</v>
      </c>
      <c r="U6" s="42">
        <v>1980</v>
      </c>
      <c r="V6" s="42">
        <v>1980</v>
      </c>
      <c r="W6" s="15">
        <v>1920</v>
      </c>
      <c r="X6" s="15">
        <f>OilsY!G7*(48/60)</f>
        <v>2005.4400000000003</v>
      </c>
      <c r="Y6" s="15">
        <f>B6*D6/L6/1000</f>
        <v>8.510827747252746</v>
      </c>
      <c r="Z6" s="15">
        <f>B6*E6/R6/1000</f>
        <v>0.6347194388777557</v>
      </c>
      <c r="AA6" s="15">
        <f>B6*F6/X6/1000</f>
        <v>0.6633182742939205</v>
      </c>
      <c r="AB6" s="15">
        <f>SUM(Y6:AA6)</f>
        <v>9.808865460424423</v>
      </c>
    </row>
    <row r="7" spans="1:28" ht="12.75">
      <c r="A7" t="s">
        <v>369</v>
      </c>
      <c r="B7" s="14">
        <v>2900</v>
      </c>
      <c r="C7" s="14"/>
      <c r="D7" s="14">
        <f>0.87*2007.5</f>
        <v>1746.525</v>
      </c>
      <c r="E7" s="25">
        <v>350.40000000000003</v>
      </c>
      <c r="F7" s="25">
        <v>87.60000000000001</v>
      </c>
      <c r="G7">
        <f>2000*1.97</f>
        <v>3940</v>
      </c>
      <c r="H7">
        <f>2000*1.81</f>
        <v>3620</v>
      </c>
      <c r="I7">
        <f>2000*1.75</f>
        <v>3500</v>
      </c>
      <c r="J7">
        <f>2000*1.67</f>
        <v>3340</v>
      </c>
      <c r="K7">
        <f>2000*1.9</f>
        <v>3800</v>
      </c>
      <c r="L7" s="25">
        <f>AVERAGE(G7:K7)*0.87</f>
        <v>3166.8</v>
      </c>
      <c r="M7" s="15">
        <v>6384</v>
      </c>
      <c r="N7" s="15">
        <v>5656</v>
      </c>
      <c r="O7" s="42">
        <v>5488</v>
      </c>
      <c r="P7" s="42">
        <v>5880</v>
      </c>
      <c r="Q7" s="15">
        <v>5432</v>
      </c>
      <c r="R7" s="15">
        <f>Grain!I10</f>
        <v>8383.199999999999</v>
      </c>
      <c r="S7" s="15">
        <v>2460</v>
      </c>
      <c r="T7" s="15">
        <v>2220</v>
      </c>
      <c r="U7" s="42">
        <v>1980</v>
      </c>
      <c r="V7" s="42">
        <v>1980</v>
      </c>
      <c r="W7" s="15">
        <v>1920</v>
      </c>
      <c r="X7" s="15">
        <f>OilsY!G7*(48/60)</f>
        <v>2005.4400000000003</v>
      </c>
      <c r="Y7" s="15">
        <f>B7*D7/L7/1000</f>
        <v>1.5993818681318681</v>
      </c>
      <c r="Z7" s="372">
        <f>$B$7*E7/R7/1000</f>
        <v>0.12121385628399658</v>
      </c>
      <c r="AA7" s="15">
        <f>$B$7*F7/X7/1000</f>
        <v>0.12667544279559598</v>
      </c>
      <c r="AB7" s="15">
        <f>SUM(Y7:AA7)</f>
        <v>1.8472711672114608</v>
      </c>
    </row>
    <row r="8" spans="1:3" ht="12.75">
      <c r="A8" s="73" t="s">
        <v>1048</v>
      </c>
      <c r="B8" s="32">
        <v>6859.999999999999</v>
      </c>
      <c r="C8" s="234"/>
    </row>
    <row r="9" spans="1:2" ht="12.75">
      <c r="A9" t="s">
        <v>1045</v>
      </c>
      <c r="B9" s="14">
        <v>35600</v>
      </c>
    </row>
    <row r="10" spans="1:28" ht="12.75">
      <c r="A10" s="73" t="s">
        <v>372</v>
      </c>
      <c r="B10" s="14">
        <v>7500</v>
      </c>
      <c r="D10" s="25">
        <f>0.87*228.125</f>
        <v>198.46875</v>
      </c>
      <c r="E10">
        <v>365</v>
      </c>
      <c r="F10">
        <v>91.25</v>
      </c>
      <c r="G10">
        <f>2000*1.97</f>
        <v>3940</v>
      </c>
      <c r="H10">
        <f>2000*1.81</f>
        <v>3620</v>
      </c>
      <c r="I10">
        <f>2000*1.75</f>
        <v>3500</v>
      </c>
      <c r="J10">
        <f>2000*1.67</f>
        <v>3340</v>
      </c>
      <c r="K10">
        <f>2000*1.9</f>
        <v>3800</v>
      </c>
      <c r="L10" s="25">
        <f>AVERAGE(G10:K10)*0.87</f>
        <v>3166.8</v>
      </c>
      <c r="M10" s="15">
        <v>6384</v>
      </c>
      <c r="N10" s="15">
        <v>5656</v>
      </c>
      <c r="O10" s="42">
        <v>5488</v>
      </c>
      <c r="P10" s="42">
        <v>5880</v>
      </c>
      <c r="Q10" s="15">
        <v>5432</v>
      </c>
      <c r="R10" s="15">
        <f>Grain!I10</f>
        <v>8383.199999999999</v>
      </c>
      <c r="S10" s="15">
        <v>2460</v>
      </c>
      <c r="T10" s="15">
        <v>2220</v>
      </c>
      <c r="U10" s="42">
        <v>1980</v>
      </c>
      <c r="V10" s="42">
        <v>1980</v>
      </c>
      <c r="W10" s="15">
        <v>1920</v>
      </c>
      <c r="X10" s="15">
        <f>OilsY!G7*(48/60)</f>
        <v>2005.4400000000003</v>
      </c>
      <c r="Y10" s="282">
        <f>B10*D10/L10/1000</f>
        <v>0.4700377747252747</v>
      </c>
      <c r="Z10" s="372">
        <f>B10*E10/R10/1000</f>
        <v>0.32654594904093903</v>
      </c>
      <c r="AA10" s="15">
        <f>B10*F10/X10/1000</f>
        <v>0.3412592747726184</v>
      </c>
      <c r="AB10" s="15">
        <f>SUM(Y10:AA10)</f>
        <v>1.137842998538832</v>
      </c>
    </row>
    <row r="11" spans="1:4" ht="12.75">
      <c r="A11" s="73" t="s">
        <v>1046</v>
      </c>
      <c r="B11" s="14">
        <v>3200</v>
      </c>
      <c r="D11" s="25"/>
    </row>
    <row r="12" spans="1:28" ht="12.75">
      <c r="A12" s="73" t="s">
        <v>1047</v>
      </c>
      <c r="B12" s="14">
        <v>22700</v>
      </c>
      <c r="C12" s="234"/>
      <c r="D12" s="25">
        <f>0.87*228.125</f>
        <v>198.46875</v>
      </c>
      <c r="E12">
        <v>365</v>
      </c>
      <c r="F12" s="25">
        <v>91.25</v>
      </c>
      <c r="G12">
        <f>2000*1.97</f>
        <v>3940</v>
      </c>
      <c r="H12">
        <f>2000*1.81</f>
        <v>3620</v>
      </c>
      <c r="I12">
        <f>2000*1.75</f>
        <v>3500</v>
      </c>
      <c r="J12">
        <f>2000*1.67</f>
        <v>3340</v>
      </c>
      <c r="K12">
        <f>2000*1.9</f>
        <v>3800</v>
      </c>
      <c r="L12" s="25">
        <f>AVERAGE(G12:K12)*0.87</f>
        <v>3166.8</v>
      </c>
      <c r="M12" s="15">
        <v>6384</v>
      </c>
      <c r="N12" s="15">
        <v>5656</v>
      </c>
      <c r="O12" s="42">
        <v>5488</v>
      </c>
      <c r="P12" s="42">
        <v>5880</v>
      </c>
      <c r="Q12" s="15">
        <v>5432</v>
      </c>
      <c r="R12" s="15">
        <f>Grain!I10</f>
        <v>8383.199999999999</v>
      </c>
      <c r="S12" s="15">
        <v>2460</v>
      </c>
      <c r="T12" s="15">
        <v>2220</v>
      </c>
      <c r="U12" s="42">
        <v>1980</v>
      </c>
      <c r="V12" s="42">
        <v>1980</v>
      </c>
      <c r="W12" s="15">
        <v>1920</v>
      </c>
      <c r="X12" s="15">
        <f>OilsY!G7*(48/60)</f>
        <v>2005.4400000000003</v>
      </c>
      <c r="Y12" s="282">
        <f>B12*D12/L12/1000</f>
        <v>1.4226476648351647</v>
      </c>
      <c r="Z12" s="15">
        <f>B12*E12/R12/1000</f>
        <v>0.9883457390972422</v>
      </c>
      <c r="AA12" s="15">
        <f>B12*F12/X12/1000</f>
        <v>1.0328780716451251</v>
      </c>
      <c r="AB12" s="15">
        <f>SUM(Y12:AA12)</f>
        <v>3.443871475577532</v>
      </c>
    </row>
    <row r="13" spans="1:28" ht="12.75">
      <c r="A13" s="1020" t="s">
        <v>1054</v>
      </c>
      <c r="B13" s="11"/>
      <c r="C13" s="367">
        <f>2648400*0.54</f>
        <v>1430136</v>
      </c>
      <c r="D13" s="1022"/>
      <c r="E13" s="1022"/>
      <c r="F13" s="1022"/>
      <c r="G13" s="11"/>
      <c r="H13" s="11"/>
      <c r="I13" s="11"/>
      <c r="J13" s="11"/>
      <c r="K13" s="11"/>
      <c r="L13" s="11"/>
      <c r="M13" s="11"/>
      <c r="N13" s="11"/>
      <c r="O13" s="11"/>
      <c r="P13" s="11"/>
      <c r="Q13" s="11"/>
      <c r="R13" s="11"/>
      <c r="S13" s="11"/>
      <c r="T13" s="11"/>
      <c r="U13" s="11"/>
      <c r="V13" s="11"/>
      <c r="W13" s="11"/>
      <c r="X13" s="11"/>
      <c r="Y13" s="1022">
        <f>SUM(Y6:Y12)</f>
        <v>12.002895054945053</v>
      </c>
      <c r="Z13" s="1022">
        <f>SUM(Z6:Z12)</f>
        <v>2.0708249832999335</v>
      </c>
      <c r="AA13" s="1022">
        <f>SUM(AA6:AA12)</f>
        <v>2.16413106350726</v>
      </c>
      <c r="AB13" s="1022">
        <f>SUM(AB6:AB12)</f>
        <v>16.23785110175225</v>
      </c>
    </row>
    <row r="14" spans="1:28" ht="12.75">
      <c r="A14" s="1021"/>
      <c r="B14" s="4"/>
      <c r="C14" s="32"/>
      <c r="D14" s="4"/>
      <c r="E14" s="4"/>
      <c r="F14" s="4"/>
      <c r="G14" s="4"/>
      <c r="H14" s="4"/>
      <c r="I14" s="4"/>
      <c r="J14" s="4"/>
      <c r="K14" s="4"/>
      <c r="L14" s="4"/>
      <c r="M14" s="4"/>
      <c r="N14" s="4"/>
      <c r="O14" s="4"/>
      <c r="P14" s="4"/>
      <c r="Q14" s="4"/>
      <c r="R14" s="4"/>
      <c r="S14" s="4"/>
      <c r="T14" s="4"/>
      <c r="U14" s="4"/>
      <c r="V14" s="4"/>
      <c r="W14" s="4"/>
      <c r="X14" s="4"/>
      <c r="Y14" s="4"/>
      <c r="Z14" s="4"/>
      <c r="AA14" s="4"/>
      <c r="AB14" s="4"/>
    </row>
    <row r="15" spans="2:28" ht="12.75">
      <c r="B15" s="8" t="s">
        <v>1089</v>
      </c>
      <c r="C15" s="14"/>
      <c r="D15" s="1432" t="s">
        <v>1055</v>
      </c>
      <c r="E15" s="1430"/>
      <c r="F15" s="1431"/>
      <c r="G15" s="1422" t="s">
        <v>190</v>
      </c>
      <c r="H15" s="1422"/>
      <c r="I15" s="1422"/>
      <c r="J15" s="1422"/>
      <c r="K15" s="1422"/>
      <c r="L15" s="1422"/>
      <c r="M15" s="1422"/>
      <c r="N15" s="1422"/>
      <c r="O15" s="1422"/>
      <c r="P15" s="1422"/>
      <c r="Q15" s="1422"/>
      <c r="R15" s="1422"/>
      <c r="S15" s="1422"/>
      <c r="T15" s="1422"/>
      <c r="U15" s="1422"/>
      <c r="V15" s="1422"/>
      <c r="W15" s="1422"/>
      <c r="X15" s="1422"/>
      <c r="Y15" s="1422" t="s">
        <v>550</v>
      </c>
      <c r="Z15" s="1422"/>
      <c r="AA15" s="1422"/>
      <c r="AB15" s="1422"/>
    </row>
    <row r="16" spans="2:28" ht="12.75">
      <c r="B16" s="13"/>
      <c r="C16" s="14"/>
      <c r="D16" s="174" t="s">
        <v>362</v>
      </c>
      <c r="E16" s="174" t="s">
        <v>140</v>
      </c>
      <c r="F16" s="174" t="s">
        <v>465</v>
      </c>
      <c r="G16" s="1427" t="s">
        <v>362</v>
      </c>
      <c r="H16" s="1428"/>
      <c r="I16" s="1428"/>
      <c r="J16" s="1428"/>
      <c r="K16" s="1428"/>
      <c r="L16" s="1429"/>
      <c r="M16" s="1343" t="s">
        <v>140</v>
      </c>
      <c r="N16" s="1423"/>
      <c r="O16" s="1423"/>
      <c r="P16" s="1423"/>
      <c r="Q16" s="1423"/>
      <c r="R16" s="1344"/>
      <c r="S16" s="1260" t="s">
        <v>465</v>
      </c>
      <c r="T16" s="1423"/>
      <c r="U16" s="1423"/>
      <c r="V16" s="1423"/>
      <c r="W16" s="1423"/>
      <c r="X16" s="1344"/>
      <c r="Y16" s="375" t="s">
        <v>362</v>
      </c>
      <c r="Z16" s="463" t="s">
        <v>140</v>
      </c>
      <c r="AA16" s="375" t="s">
        <v>465</v>
      </c>
      <c r="AB16" s="755" t="s">
        <v>134</v>
      </c>
    </row>
    <row r="17" spans="2:28" ht="12.75">
      <c r="B17" s="13"/>
      <c r="C17" s="14"/>
      <c r="D17" s="1351" t="s">
        <v>33</v>
      </c>
      <c r="E17" s="1351"/>
      <c r="F17" s="1351"/>
      <c r="G17" s="1404" t="s">
        <v>170</v>
      </c>
      <c r="H17" s="1405"/>
      <c r="I17" s="1405"/>
      <c r="J17" s="1405"/>
      <c r="K17" s="1406"/>
      <c r="L17" s="1016" t="s">
        <v>984</v>
      </c>
      <c r="M17" s="872"/>
      <c r="N17" s="872"/>
      <c r="O17" s="872"/>
      <c r="P17" s="872"/>
      <c r="Q17" s="872"/>
      <c r="R17" s="1415" t="s">
        <v>170</v>
      </c>
      <c r="S17" s="1415"/>
      <c r="T17" s="1415"/>
      <c r="U17" s="1415"/>
      <c r="V17" s="1415"/>
      <c r="W17" s="1415"/>
      <c r="X17" s="1416"/>
      <c r="Y17" s="1409" t="s">
        <v>457</v>
      </c>
      <c r="Z17" s="1352"/>
      <c r="AA17" s="1352"/>
      <c r="AB17" s="748" t="s">
        <v>942</v>
      </c>
    </row>
    <row r="18" spans="1:28" ht="12.75">
      <c r="A18" s="40" t="s">
        <v>1093</v>
      </c>
      <c r="B18" s="14">
        <f>C18/50</f>
        <v>302330.04814246914</v>
      </c>
      <c r="C18" s="14">
        <f>Protein!G14-Sheep!C13</f>
        <v>15116502.407123456</v>
      </c>
      <c r="D18" s="14">
        <f>(D6*$B$6+D7*$B$7+D10*$B$10+D12*$B$12)/($B$12+$B$8)</f>
        <v>1285.885252368065</v>
      </c>
      <c r="E18" s="14">
        <f>(E6*$B$6+E7*$B$7+E10*$B$10+E12*$B$12)/($B$12+$B$8)</f>
        <v>587.2848443843031</v>
      </c>
      <c r="F18" s="14">
        <f>(F6*$B$6+F7*$B$7+F10*$B$10+F12*$B$12)/($B$12+$B$8)</f>
        <v>146.82121109607579</v>
      </c>
      <c r="G18">
        <f>2000*1.97</f>
        <v>3940</v>
      </c>
      <c r="H18">
        <f>2000*1.81</f>
        <v>3620</v>
      </c>
      <c r="I18">
        <f>2000*1.75</f>
        <v>3500</v>
      </c>
      <c r="J18">
        <f>2000*1.67</f>
        <v>3340</v>
      </c>
      <c r="K18">
        <f>2000*1.9</f>
        <v>3800</v>
      </c>
      <c r="L18" s="25">
        <f>AVERAGE(G18:K18)*0.87</f>
        <v>3166.8</v>
      </c>
      <c r="M18" s="15">
        <v>6384</v>
      </c>
      <c r="N18" s="15">
        <v>5656</v>
      </c>
      <c r="O18" s="42">
        <v>5488</v>
      </c>
      <c r="P18" s="42">
        <v>5880</v>
      </c>
      <c r="Q18" s="15">
        <v>5432</v>
      </c>
      <c r="R18" s="15">
        <f>Grain!I10</f>
        <v>8383.199999999999</v>
      </c>
      <c r="S18" s="15">
        <v>2460</v>
      </c>
      <c r="T18" s="15">
        <v>2220</v>
      </c>
      <c r="U18" s="42">
        <v>1980</v>
      </c>
      <c r="V18" s="42">
        <v>1980</v>
      </c>
      <c r="W18" s="15">
        <v>1920</v>
      </c>
      <c r="X18" s="15">
        <f>OilsY!G7*(48/60)</f>
        <v>2005.4400000000003</v>
      </c>
      <c r="Y18" s="15">
        <f>B18*D18/L18/1000</f>
        <v>122.76169958763677</v>
      </c>
      <c r="Z18" s="15">
        <f>B18*E18/M18/1000</f>
        <v>27.812320688604146</v>
      </c>
      <c r="AA18" s="15">
        <f>B18*F18/X18/1000</f>
        <v>22.134027355100233</v>
      </c>
      <c r="AB18" s="15">
        <f>SUM(Y18:AA18)</f>
        <v>172.70804763134115</v>
      </c>
    </row>
    <row r="20" spans="1:28" ht="12.75">
      <c r="A20" s="346" t="s">
        <v>1056</v>
      </c>
      <c r="B20" s="346"/>
      <c r="C20" s="1023">
        <f>C18+C13</f>
        <v>16546638.407123456</v>
      </c>
      <c r="D20" s="346"/>
      <c r="E20" s="346"/>
      <c r="F20" s="346"/>
      <c r="G20" s="346"/>
      <c r="H20" s="346"/>
      <c r="I20" s="346"/>
      <c r="J20" s="346"/>
      <c r="K20" s="346"/>
      <c r="L20" s="346"/>
      <c r="M20" s="346"/>
      <c r="N20" s="346"/>
      <c r="O20" s="346"/>
      <c r="P20" s="346"/>
      <c r="Q20" s="346"/>
      <c r="R20" s="346"/>
      <c r="S20" s="346"/>
      <c r="T20" s="346"/>
      <c r="U20" s="346"/>
      <c r="V20" s="346"/>
      <c r="W20" s="346"/>
      <c r="X20" s="346"/>
      <c r="Y20" s="1023">
        <f>Y18+Y13</f>
        <v>134.7645946425818</v>
      </c>
      <c r="Z20" s="1023">
        <f>Z18+Z13</f>
        <v>29.883145671904078</v>
      </c>
      <c r="AA20" s="1023">
        <f>AA18+AA13</f>
        <v>24.298158418607493</v>
      </c>
      <c r="AB20" s="1023">
        <f>AB18+AB13</f>
        <v>188.9458987330934</v>
      </c>
    </row>
    <row r="31" spans="7:12" ht="12.75">
      <c r="G31" s="14"/>
      <c r="H31" s="14"/>
      <c r="I31" s="14"/>
      <c r="J31" s="14"/>
      <c r="K31" s="14"/>
      <c r="L31" s="14"/>
    </row>
    <row r="32" spans="7:18" ht="12.75">
      <c r="G32" s="14"/>
      <c r="H32" s="14"/>
      <c r="I32" s="14"/>
      <c r="J32" s="14"/>
      <c r="K32" s="14"/>
      <c r="L32" s="14"/>
      <c r="R32" s="234"/>
    </row>
    <row r="33" spans="7:12" ht="12.75">
      <c r="G33" s="14"/>
      <c r="H33" s="14"/>
      <c r="I33" s="14"/>
      <c r="J33" s="14"/>
      <c r="K33" s="14"/>
      <c r="L33" s="14"/>
    </row>
    <row r="34" spans="7:12" ht="12.75">
      <c r="G34" s="14"/>
      <c r="H34" s="14"/>
      <c r="I34" s="14"/>
      <c r="J34" s="14"/>
      <c r="K34" s="14"/>
      <c r="L34" s="14"/>
    </row>
    <row r="35" spans="7:12" ht="12.75">
      <c r="G35" s="14"/>
      <c r="H35" s="14"/>
      <c r="I35" s="14"/>
      <c r="J35" s="14"/>
      <c r="K35" s="14"/>
      <c r="L35" s="14"/>
    </row>
    <row r="36" ht="12.75">
      <c r="C36" s="58"/>
    </row>
    <row r="37" spans="1:25" s="4" customFormat="1" ht="12.75">
      <c r="A37" s="4" t="s">
        <v>1090</v>
      </c>
      <c r="Y37" s="4" t="s">
        <v>345</v>
      </c>
    </row>
    <row r="38" spans="24:25" s="4" customFormat="1" ht="12.75">
      <c r="X38" s="238" t="s">
        <v>363</v>
      </c>
      <c r="Y38" s="239">
        <v>49</v>
      </c>
    </row>
    <row r="39" spans="1:25" s="4" customFormat="1" ht="12.75">
      <c r="A39" s="238" t="s">
        <v>464</v>
      </c>
      <c r="B39" s="243">
        <f>Protein!B14</f>
        <v>0.02309333512140605</v>
      </c>
      <c r="X39" s="238" t="s">
        <v>364</v>
      </c>
      <c r="Y39" s="241">
        <v>49</v>
      </c>
    </row>
    <row r="40" spans="1:31" s="4" customFormat="1" ht="15">
      <c r="A40" s="238" t="s">
        <v>944</v>
      </c>
      <c r="B40" s="248">
        <f>Protein!F14</f>
        <v>1.1411474763533418</v>
      </c>
      <c r="X40" s="4" t="s">
        <v>365</v>
      </c>
      <c r="Y40" s="241">
        <v>49</v>
      </c>
      <c r="AE40" s="19" t="s">
        <v>973</v>
      </c>
    </row>
    <row r="41" spans="1:36" s="4" customFormat="1" ht="15">
      <c r="A41" s="176" t="s">
        <v>366</v>
      </c>
      <c r="B41" s="1221">
        <f>B40*14500000</f>
        <v>16546638.407123456</v>
      </c>
      <c r="C41" s="177"/>
      <c r="AG41" s="19" t="s">
        <v>362</v>
      </c>
      <c r="AH41" s="19" t="s">
        <v>136</v>
      </c>
      <c r="AI41" s="188" t="s">
        <v>971</v>
      </c>
      <c r="AJ41" s="188" t="s">
        <v>972</v>
      </c>
    </row>
    <row r="42" spans="1:36" s="4" customFormat="1" ht="12.75">
      <c r="A42" s="176" t="s">
        <v>349</v>
      </c>
      <c r="B42" s="176">
        <v>0.92</v>
      </c>
      <c r="Y42" s="6" t="s">
        <v>367</v>
      </c>
      <c r="Z42" s="6" t="s">
        <v>368</v>
      </c>
      <c r="AA42" s="6" t="s">
        <v>369</v>
      </c>
      <c r="AB42" s="6" t="s">
        <v>370</v>
      </c>
      <c r="AC42" s="6"/>
      <c r="AE42" s="325" t="s">
        <v>368</v>
      </c>
      <c r="AF42" s="175">
        <f>Z43</f>
        <v>278803.25140733185</v>
      </c>
      <c r="AG42" s="32">
        <f>SUM(AG43:AG49)</f>
        <v>1002.57</v>
      </c>
      <c r="AH42" s="857">
        <f>SUM(AH43:AH49)</f>
        <v>215.25</v>
      </c>
      <c r="AI42" s="857">
        <f>SUM(AI43:AI49)</f>
        <v>172.20000000000002</v>
      </c>
      <c r="AJ42" s="857">
        <f>SUM(AJ43:AJ49)</f>
        <v>43.050000000000004</v>
      </c>
    </row>
    <row r="43" spans="1:36" s="4" customFormat="1" ht="12.75">
      <c r="A43" s="238" t="s">
        <v>351</v>
      </c>
      <c r="B43" s="176">
        <v>0.9</v>
      </c>
      <c r="Y43" s="235">
        <f>B41</f>
        <v>16546638.407123456</v>
      </c>
      <c r="Z43" s="34">
        <f>Y43/((Y38*B42*B43*B44)+(Y39*B45*B46)+(Y40*B48*B50*B51)-(Y38*B45)-(Y38*B48*B50))</f>
        <v>278803.25140733185</v>
      </c>
      <c r="AA43" s="235">
        <f>Z43*B48</f>
        <v>5576.065028146637</v>
      </c>
      <c r="AB43" s="235">
        <f>Z43*B42*B43*B44</f>
        <v>346273.6382479061</v>
      </c>
      <c r="AC43" s="6"/>
      <c r="AE43" s="859" t="s">
        <v>981</v>
      </c>
      <c r="AF43" s="860"/>
      <c r="AG43" s="861">
        <f>16.67*7*3</f>
        <v>350.07000000000005</v>
      </c>
      <c r="AH43" s="861"/>
      <c r="AI43" s="861"/>
      <c r="AJ43" s="862"/>
    </row>
    <row r="44" spans="1:36" s="4" customFormat="1" ht="12.75">
      <c r="A44" s="238" t="s">
        <v>371</v>
      </c>
      <c r="B44" s="176">
        <v>1.5</v>
      </c>
      <c r="Y44" s="6"/>
      <c r="Z44" s="6"/>
      <c r="AA44" s="242"/>
      <c r="AB44" s="235"/>
      <c r="AC44" s="235"/>
      <c r="AE44" s="863" t="s">
        <v>974</v>
      </c>
      <c r="AF44" s="864"/>
      <c r="AG44" s="865">
        <f>5*7*3</f>
        <v>105</v>
      </c>
      <c r="AH44" s="865">
        <f>5*7*0.75</f>
        <v>26.25</v>
      </c>
      <c r="AI44" s="865">
        <f>AH44*(4/5)</f>
        <v>21</v>
      </c>
      <c r="AJ44" s="866">
        <f>AH44*(1/5)</f>
        <v>5.25</v>
      </c>
    </row>
    <row r="45" spans="1:36" s="4" customFormat="1" ht="12.75">
      <c r="A45" s="176" t="s">
        <v>353</v>
      </c>
      <c r="B45" s="243">
        <v>0.15</v>
      </c>
      <c r="Y45" s="235"/>
      <c r="Z45" s="235"/>
      <c r="AA45" s="6" t="s">
        <v>372</v>
      </c>
      <c r="AB45" s="6" t="s">
        <v>373</v>
      </c>
      <c r="AC45" s="242"/>
      <c r="AE45" s="863" t="s">
        <v>975</v>
      </c>
      <c r="AF45" s="864"/>
      <c r="AG45" s="865">
        <f>15*7*3</f>
        <v>315</v>
      </c>
      <c r="AH45" s="865"/>
      <c r="AI45" s="865"/>
      <c r="AJ45" s="866"/>
    </row>
    <row r="46" spans="1:36" s="4" customFormat="1" ht="12.75">
      <c r="A46" s="244" t="s">
        <v>374</v>
      </c>
      <c r="B46" s="245">
        <v>0.8</v>
      </c>
      <c r="C46" s="4" t="s">
        <v>375</v>
      </c>
      <c r="X46" s="175"/>
      <c r="Y46" s="6"/>
      <c r="Z46" s="6"/>
      <c r="AA46" s="235">
        <f>(Z43*B45)+(Z43*B48*B50)</f>
        <v>42935.7007167291</v>
      </c>
      <c r="AB46" s="235">
        <f>(Z43*B42*B43*B44)-(Z43*B45)-(Z43*B48*B50)</f>
        <v>303337.937531177</v>
      </c>
      <c r="AC46" s="246"/>
      <c r="AD46" s="224"/>
      <c r="AE46" s="863" t="s">
        <v>976</v>
      </c>
      <c r="AF46" s="864"/>
      <c r="AG46" s="637">
        <f>6*7*4</f>
        <v>168</v>
      </c>
      <c r="AH46" s="865">
        <f>6*7*1.5</f>
        <v>63</v>
      </c>
      <c r="AI46" s="865">
        <f>AH46*(4/5)</f>
        <v>50.400000000000006</v>
      </c>
      <c r="AJ46" s="866">
        <f>AH46*(1/5)</f>
        <v>12.600000000000001</v>
      </c>
    </row>
    <row r="47" spans="1:36" s="4" customFormat="1" ht="12.75">
      <c r="A47" s="176" t="s">
        <v>355</v>
      </c>
      <c r="B47" s="240">
        <f>14/12</f>
        <v>1.1666666666666667</v>
      </c>
      <c r="X47" s="32"/>
      <c r="Y47" s="242"/>
      <c r="Z47" s="235"/>
      <c r="AA47" s="247"/>
      <c r="AB47" s="6"/>
      <c r="AC47" s="6"/>
      <c r="AD47" s="23"/>
      <c r="AE47" s="867" t="s">
        <v>977</v>
      </c>
      <c r="AF47" s="864"/>
      <c r="AG47" s="637">
        <f>1*7*4</f>
        <v>28</v>
      </c>
      <c r="AH47" s="865"/>
      <c r="AI47" s="865"/>
      <c r="AJ47" s="866"/>
    </row>
    <row r="48" spans="1:36" s="4" customFormat="1" ht="12.75">
      <c r="A48" s="176" t="s">
        <v>356</v>
      </c>
      <c r="B48" s="243">
        <f>1/50</f>
        <v>0.02</v>
      </c>
      <c r="X48" s="175"/>
      <c r="Y48" s="6"/>
      <c r="Z48" s="6" t="s">
        <v>376</v>
      </c>
      <c r="AA48" s="6" t="s">
        <v>377</v>
      </c>
      <c r="AB48" s="294" t="s">
        <v>980</v>
      </c>
      <c r="AC48" s="6"/>
      <c r="AE48" s="863" t="s">
        <v>978</v>
      </c>
      <c r="AF48" s="341"/>
      <c r="AG48" s="865">
        <v>5</v>
      </c>
      <c r="AH48" s="865">
        <f>7*7*1.5</f>
        <v>73.5</v>
      </c>
      <c r="AI48" s="865">
        <f>AH48*(4/5)</f>
        <v>58.800000000000004</v>
      </c>
      <c r="AJ48" s="866">
        <f>AH48*(1/5)</f>
        <v>14.700000000000001</v>
      </c>
    </row>
    <row r="49" spans="1:36" s="4" customFormat="1" ht="12.75">
      <c r="A49" s="176" t="s">
        <v>357</v>
      </c>
      <c r="B49" s="243">
        <f>7.5/12</f>
        <v>0.625</v>
      </c>
      <c r="Y49" s="235"/>
      <c r="Z49" s="235">
        <f>Z43*B45*B46</f>
        <v>33456.39016887982</v>
      </c>
      <c r="AA49" s="235">
        <f>AA43*B50*B51</f>
        <v>892.170404503462</v>
      </c>
      <c r="AB49" s="235">
        <f>AB46</f>
        <v>303337.937531177</v>
      </c>
      <c r="AC49" s="6"/>
      <c r="AE49" s="868" t="s">
        <v>979</v>
      </c>
      <c r="AF49" s="869"/>
      <c r="AG49" s="870">
        <f>1.5*7*3</f>
        <v>31.5</v>
      </c>
      <c r="AH49" s="870">
        <f>1.5*7*5</f>
        <v>52.5</v>
      </c>
      <c r="AI49" s="870">
        <f>AH49*(4/5)</f>
        <v>42</v>
      </c>
      <c r="AJ49" s="871">
        <f>AH49*(1/5)</f>
        <v>10.5</v>
      </c>
    </row>
    <row r="50" spans="1:36" s="4" customFormat="1" ht="12.75">
      <c r="A50" s="244" t="s">
        <v>358</v>
      </c>
      <c r="B50" s="244">
        <v>0.2</v>
      </c>
      <c r="C50" s="4" t="s">
        <v>375</v>
      </c>
      <c r="Y50" s="6"/>
      <c r="Z50" s="242"/>
      <c r="AA50" s="235"/>
      <c r="AB50" s="6"/>
      <c r="AC50" s="6"/>
      <c r="AE50" s="19" t="s">
        <v>970</v>
      </c>
      <c r="AF50" s="175">
        <f>AB43</f>
        <v>346273.6382479061</v>
      </c>
      <c r="AG50" s="857">
        <f>(365/2)*1.25</f>
        <v>228.125</v>
      </c>
      <c r="AH50" s="857">
        <f>(365/2)*2.5</f>
        <v>456.25</v>
      </c>
      <c r="AI50" s="857">
        <f>AH50*(4/5)</f>
        <v>365</v>
      </c>
      <c r="AJ50" s="857">
        <f>AH50*(1/5)</f>
        <v>91.25</v>
      </c>
    </row>
    <row r="51" spans="1:36" s="4" customFormat="1" ht="12.75">
      <c r="A51" s="244" t="s">
        <v>378</v>
      </c>
      <c r="B51" s="63">
        <f>0.8</f>
        <v>0.8</v>
      </c>
      <c r="C51" s="4" t="s">
        <v>375</v>
      </c>
      <c r="Y51" s="32">
        <f>AB51*(1+AC52)</f>
        <v>16546638.407123456</v>
      </c>
      <c r="Z51" s="235">
        <f>Z43*B45*B46*Y39</f>
        <v>1639363.1182751113</v>
      </c>
      <c r="AA51" s="235">
        <f>AA43*B50*B51*Y40</f>
        <v>43716.34982066964</v>
      </c>
      <c r="AB51" s="235">
        <f>AB49*Y38</f>
        <v>14863558.939027674</v>
      </c>
      <c r="AC51" s="235">
        <f>SUM(Z51:AB51)</f>
        <v>16546638.407123456</v>
      </c>
      <c r="AD51" s="175"/>
      <c r="AE51" s="65" t="s">
        <v>369</v>
      </c>
      <c r="AF51" s="858">
        <f>AA43</f>
        <v>5576.065028146637</v>
      </c>
      <c r="AG51" s="47">
        <f>5.5*365</f>
        <v>2007.5</v>
      </c>
      <c r="AH51" s="3">
        <f>1.2*365</f>
        <v>438</v>
      </c>
      <c r="AI51" s="576">
        <f>AH51*(4/5)</f>
        <v>350.40000000000003</v>
      </c>
      <c r="AJ51" s="576">
        <f>AH51*(1/5)</f>
        <v>87.60000000000001</v>
      </c>
    </row>
    <row r="52" spans="26:36" s="4" customFormat="1" ht="12.75">
      <c r="Z52" s="175"/>
      <c r="AC52" s="177">
        <f>(Z51+AA51)/AB51</f>
        <v>0.11323529411764707</v>
      </c>
      <c r="AE52" s="19" t="s">
        <v>1043</v>
      </c>
      <c r="AG52" s="32">
        <f>($AF$42*AG42+$AF$50*AG50+$AF$51*AG51)/($AB$46+Z49+AA49)</f>
        <v>1094.8243477542935</v>
      </c>
      <c r="AH52" s="32">
        <f>($AF$42*AH42+$AF$50*AH50+$AF$51*AH51)/($AB$46+Z49+AA49)</f>
        <v>652.8009412153236</v>
      </c>
      <c r="AI52" s="32">
        <f>($AF$42*AI42+$AF$50*AI50+$AF$51*AI51)/($AB$46+Z49+AA49)</f>
        <v>522.2407529722589</v>
      </c>
      <c r="AJ52" s="32">
        <f>($AF$42*AJ42+$AF$50*AJ50+$AF$51*AJ51)/($AB$46+Z49+AA49)</f>
        <v>130.56018824306472</v>
      </c>
    </row>
  </sheetData>
  <sheetProtection/>
  <mergeCells count="22">
    <mergeCell ref="Y4:AA4"/>
    <mergeCell ref="G2:X2"/>
    <mergeCell ref="Y2:AB2"/>
    <mergeCell ref="G3:L3"/>
    <mergeCell ref="M3:R3"/>
    <mergeCell ref="D2:F2"/>
    <mergeCell ref="D15:F15"/>
    <mergeCell ref="G15:X15"/>
    <mergeCell ref="Y15:AB15"/>
    <mergeCell ref="G17:K17"/>
    <mergeCell ref="R17:X17"/>
    <mergeCell ref="Y17:AA17"/>
    <mergeCell ref="R4:X4"/>
    <mergeCell ref="B3:B4"/>
    <mergeCell ref="C3:C4"/>
    <mergeCell ref="G16:L16"/>
    <mergeCell ref="M16:R16"/>
    <mergeCell ref="S16:X16"/>
    <mergeCell ref="D17:F17"/>
  </mergeCells>
  <printOptions/>
  <pageMargins left="0.7" right="0.7" top="0.75" bottom="0.75" header="0.3" footer="0.3"/>
  <pageSetup orientation="portrait"/>
  <legacyDrawing r:id="rId2"/>
</worksheet>
</file>

<file path=xl/worksheets/sheet21.xml><?xml version="1.0" encoding="utf-8"?>
<worksheet xmlns="http://schemas.openxmlformats.org/spreadsheetml/2006/main" xmlns:r="http://schemas.openxmlformats.org/officeDocument/2006/relationships">
  <dimension ref="A1:AD48"/>
  <sheetViews>
    <sheetView zoomScalePageLayoutView="0" workbookViewId="0" topLeftCell="A1">
      <selection activeCell="X17" sqref="X17:Y17"/>
    </sheetView>
  </sheetViews>
  <sheetFormatPr defaultColWidth="8.8515625" defaultRowHeight="12.75"/>
  <cols>
    <col min="1" max="1" width="17.00390625" style="0" customWidth="1"/>
    <col min="2" max="6" width="8.8515625" style="0" customWidth="1"/>
    <col min="7" max="11" width="0" style="0" hidden="1" customWidth="1"/>
    <col min="12" max="12" width="8.8515625" style="0" customWidth="1"/>
    <col min="13" max="17" width="0" style="0" hidden="1" customWidth="1"/>
    <col min="18" max="18" width="8.8515625" style="0" customWidth="1"/>
    <col min="19" max="23" width="0" style="0" hidden="1" customWidth="1"/>
  </cols>
  <sheetData>
    <row r="1" ht="15">
      <c r="A1" s="1052" t="s">
        <v>1092</v>
      </c>
    </row>
    <row r="3" spans="2:30" ht="12.75">
      <c r="B3" s="1433" t="s">
        <v>969</v>
      </c>
      <c r="C3" s="1432" t="s">
        <v>1102</v>
      </c>
      <c r="D3" s="1430"/>
      <c r="E3" s="1430"/>
      <c r="F3" s="1431"/>
      <c r="G3" s="1432" t="s">
        <v>190</v>
      </c>
      <c r="H3" s="1430"/>
      <c r="I3" s="1430"/>
      <c r="J3" s="1430"/>
      <c r="K3" s="1430"/>
      <c r="L3" s="1430"/>
      <c r="M3" s="1430"/>
      <c r="N3" s="1430"/>
      <c r="O3" s="1430"/>
      <c r="P3" s="1430"/>
      <c r="Q3" s="1430"/>
      <c r="R3" s="1430"/>
      <c r="S3" s="1430"/>
      <c r="T3" s="1430"/>
      <c r="U3" s="1430"/>
      <c r="V3" s="1430"/>
      <c r="W3" s="1430"/>
      <c r="X3" s="1430"/>
      <c r="Y3" s="1431"/>
      <c r="Z3" s="1422" t="s">
        <v>550</v>
      </c>
      <c r="AA3" s="1422"/>
      <c r="AB3" s="1422"/>
      <c r="AC3" s="1422"/>
      <c r="AD3" s="1422"/>
    </row>
    <row r="4" spans="2:30" ht="12.75">
      <c r="B4" s="1433"/>
      <c r="C4" s="174" t="s">
        <v>362</v>
      </c>
      <c r="D4" s="174" t="s">
        <v>140</v>
      </c>
      <c r="E4" s="174" t="s">
        <v>465</v>
      </c>
      <c r="F4" s="276" t="s">
        <v>701</v>
      </c>
      <c r="G4" s="1427" t="s">
        <v>362</v>
      </c>
      <c r="H4" s="1428"/>
      <c r="I4" s="1428"/>
      <c r="J4" s="1428"/>
      <c r="K4" s="1428"/>
      <c r="L4" s="1429"/>
      <c r="M4" s="1343" t="s">
        <v>140</v>
      </c>
      <c r="N4" s="1423"/>
      <c r="O4" s="1423"/>
      <c r="P4" s="1423"/>
      <c r="Q4" s="1423"/>
      <c r="R4" s="1344"/>
      <c r="S4" s="1260" t="s">
        <v>465</v>
      </c>
      <c r="T4" s="1423"/>
      <c r="U4" s="1423"/>
      <c r="V4" s="1423"/>
      <c r="W4" s="1423"/>
      <c r="X4" s="1344"/>
      <c r="Y4" s="747" t="s">
        <v>701</v>
      </c>
      <c r="Z4" s="375" t="s">
        <v>362</v>
      </c>
      <c r="AA4" s="463" t="s">
        <v>140</v>
      </c>
      <c r="AB4" s="375" t="s">
        <v>465</v>
      </c>
      <c r="AC4" s="375" t="s">
        <v>701</v>
      </c>
      <c r="AD4" s="755" t="s">
        <v>134</v>
      </c>
    </row>
    <row r="5" spans="2:30" ht="12.75">
      <c r="B5" s="173" t="s">
        <v>125</v>
      </c>
      <c r="C5" s="1404" t="s">
        <v>33</v>
      </c>
      <c r="D5" s="1405"/>
      <c r="E5" s="1405"/>
      <c r="F5" s="1406"/>
      <c r="G5" s="1404" t="s">
        <v>170</v>
      </c>
      <c r="H5" s="1405"/>
      <c r="I5" s="1405"/>
      <c r="J5" s="1405"/>
      <c r="K5" s="1406"/>
      <c r="L5" s="1016" t="s">
        <v>984</v>
      </c>
      <c r="M5" s="872"/>
      <c r="N5" s="872"/>
      <c r="O5" s="872"/>
      <c r="P5" s="872"/>
      <c r="Q5" s="872"/>
      <c r="R5" s="1415" t="s">
        <v>170</v>
      </c>
      <c r="S5" s="1415"/>
      <c r="T5" s="1415"/>
      <c r="U5" s="1415"/>
      <c r="V5" s="1415"/>
      <c r="W5" s="1415"/>
      <c r="X5" s="1415"/>
      <c r="Y5" s="1416"/>
      <c r="Z5" s="748" t="s">
        <v>457</v>
      </c>
      <c r="AA5" s="173"/>
      <c r="AB5" s="173"/>
      <c r="AC5" s="173"/>
      <c r="AD5" s="748" t="s">
        <v>942</v>
      </c>
    </row>
    <row r="6" spans="1:30" ht="12.75">
      <c r="A6" s="13" t="s">
        <v>1099</v>
      </c>
      <c r="B6" s="14">
        <v>1220</v>
      </c>
      <c r="C6" s="234">
        <f>C20</f>
        <v>1185.2065321805956</v>
      </c>
      <c r="D6" s="234">
        <f>G44*0.8</f>
        <v>23.22391930835735</v>
      </c>
      <c r="E6" s="234">
        <f>G44*0.2</f>
        <v>5.805979827089337</v>
      </c>
      <c r="F6" s="234"/>
      <c r="G6">
        <f>2000*1.97</f>
        <v>3940</v>
      </c>
      <c r="H6">
        <f>2000*1.81</f>
        <v>3620</v>
      </c>
      <c r="I6">
        <f>2000*1.75</f>
        <v>3500</v>
      </c>
      <c r="J6">
        <f>2000*1.67</f>
        <v>3340</v>
      </c>
      <c r="K6">
        <f>2000*1.9</f>
        <v>3800</v>
      </c>
      <c r="L6" s="25">
        <f>AVERAGE(G6:K6)*0.87</f>
        <v>3166.8</v>
      </c>
      <c r="M6" s="15">
        <v>6384</v>
      </c>
      <c r="N6" s="15">
        <v>5656</v>
      </c>
      <c r="O6" s="42">
        <v>5488</v>
      </c>
      <c r="P6" s="42">
        <v>5880</v>
      </c>
      <c r="Q6" s="15">
        <v>5432</v>
      </c>
      <c r="R6" s="15">
        <f>Grain!I10</f>
        <v>8383.199999999999</v>
      </c>
      <c r="S6" s="15">
        <v>2460</v>
      </c>
      <c r="T6" s="15">
        <v>2220</v>
      </c>
      <c r="U6" s="42">
        <v>1980</v>
      </c>
      <c r="V6" s="42">
        <v>1980</v>
      </c>
      <c r="W6" s="15">
        <v>1920</v>
      </c>
      <c r="X6" s="15">
        <f>OilsY!G7*(48/60)</f>
        <v>2005.4400000000003</v>
      </c>
      <c r="Z6" s="49">
        <f>C6*B6/L6/1000</f>
        <v>0.4565971862006841</v>
      </c>
      <c r="AA6" s="52">
        <f>D6*B6/R6/1000</f>
        <v>0.003379757318946938</v>
      </c>
      <c r="AB6" s="52">
        <f>B6*E6/X6/1000</f>
        <v>0.0035320405442441512</v>
      </c>
      <c r="AD6" s="590">
        <f>SUM(Z6:AC6)</f>
        <v>0.46350898406387525</v>
      </c>
    </row>
    <row r="7" spans="1:30" ht="12.75">
      <c r="A7" t="s">
        <v>1100</v>
      </c>
      <c r="B7" s="14">
        <v>11540</v>
      </c>
      <c r="C7" s="234">
        <f>C20</f>
        <v>1185.2065321805956</v>
      </c>
      <c r="D7" s="234">
        <f>D20</f>
        <v>232.55163304514886</v>
      </c>
      <c r="E7" s="234">
        <f>E20</f>
        <v>116.27581652257443</v>
      </c>
      <c r="F7" s="234">
        <f>F20</f>
        <v>116.27581652257443</v>
      </c>
      <c r="G7">
        <f>2000*1.97</f>
        <v>3940</v>
      </c>
      <c r="H7">
        <f>2000*1.81</f>
        <v>3620</v>
      </c>
      <c r="I7">
        <f>2000*1.75</f>
        <v>3500</v>
      </c>
      <c r="J7">
        <f>2000*1.67</f>
        <v>3340</v>
      </c>
      <c r="K7">
        <f>2000*1.9</f>
        <v>3800</v>
      </c>
      <c r="L7" s="25">
        <f>AVERAGE(G7:K7)*0.87</f>
        <v>3166.8</v>
      </c>
      <c r="M7" s="15">
        <v>6384</v>
      </c>
      <c r="N7" s="15">
        <v>5656</v>
      </c>
      <c r="O7" s="42">
        <v>5488</v>
      </c>
      <c r="P7" s="42">
        <v>5880</v>
      </c>
      <c r="Q7" s="15">
        <v>5432</v>
      </c>
      <c r="R7" s="15">
        <f>Grain!I10</f>
        <v>8383.199999999999</v>
      </c>
      <c r="S7" s="15">
        <v>2460</v>
      </c>
      <c r="T7" s="15">
        <v>2220</v>
      </c>
      <c r="U7" s="42">
        <v>1980</v>
      </c>
      <c r="V7" s="42">
        <v>1980</v>
      </c>
      <c r="W7" s="15">
        <v>1920</v>
      </c>
      <c r="X7" s="15">
        <f>OilsY!G7*(48/60)</f>
        <v>2005.4400000000003</v>
      </c>
      <c r="Y7" s="15">
        <f>GrainY!I8</f>
        <v>2010.8799999999999</v>
      </c>
      <c r="Z7" s="14">
        <f>C7*B7/L7/1000</f>
        <v>4.318960269472045</v>
      </c>
      <c r="AA7" s="51">
        <f>D7*B7/R7/1000</f>
        <v>0.3201218920389611</v>
      </c>
      <c r="AB7" s="51">
        <f>B7*E7/X7/1000</f>
        <v>0.6690915323672155</v>
      </c>
      <c r="AC7" s="51">
        <f>B7*F7/Y7/1000</f>
        <v>0.6672814502459168</v>
      </c>
      <c r="AD7" s="234">
        <f>SUM(Z7:AC7)</f>
        <v>5.9754551441241395</v>
      </c>
    </row>
    <row r="8" spans="1:30" ht="12.75">
      <c r="A8" t="s">
        <v>1101</v>
      </c>
      <c r="B8" s="14">
        <v>13060</v>
      </c>
      <c r="C8" s="234">
        <f>C20</f>
        <v>1185.2065321805956</v>
      </c>
      <c r="D8" s="234">
        <f>G44*0.8</f>
        <v>23.22391930835735</v>
      </c>
      <c r="E8" s="234">
        <f>G44*0.2</f>
        <v>5.805979827089337</v>
      </c>
      <c r="F8" s="234"/>
      <c r="G8">
        <f>2000*1.97</f>
        <v>3940</v>
      </c>
      <c r="H8">
        <f>2000*1.81</f>
        <v>3620</v>
      </c>
      <c r="I8">
        <f>2000*1.75</f>
        <v>3500</v>
      </c>
      <c r="J8">
        <f>2000*1.67</f>
        <v>3340</v>
      </c>
      <c r="K8">
        <f>2000*1.9</f>
        <v>3800</v>
      </c>
      <c r="L8" s="25">
        <f>AVERAGE(G8:K8)*0.87</f>
        <v>3166.8</v>
      </c>
      <c r="M8" s="15">
        <v>6384</v>
      </c>
      <c r="N8" s="15">
        <v>5656</v>
      </c>
      <c r="O8" s="42">
        <v>5488</v>
      </c>
      <c r="P8" s="42">
        <v>5880</v>
      </c>
      <c r="Q8" s="15">
        <v>5432</v>
      </c>
      <c r="R8" s="15">
        <f>Grain!I10</f>
        <v>8383.199999999999</v>
      </c>
      <c r="S8" s="15">
        <v>2460</v>
      </c>
      <c r="T8" s="15">
        <v>2220</v>
      </c>
      <c r="U8" s="42">
        <v>1980</v>
      </c>
      <c r="V8" s="42">
        <v>1980</v>
      </c>
      <c r="W8" s="15">
        <v>1920</v>
      </c>
      <c r="X8" s="15">
        <f>OilsY!G7*(48/60)</f>
        <v>2005.4400000000003</v>
      </c>
      <c r="Z8" s="14">
        <f>C8*B8/L8/1000</f>
        <v>4.887835452279455</v>
      </c>
      <c r="AA8" s="51">
        <f>D8*B8/R8/1000</f>
        <v>0.036180025070038535</v>
      </c>
      <c r="AB8" s="51">
        <f>B8*E8/X8/1000</f>
        <v>0.037810204514613616</v>
      </c>
      <c r="AD8" s="234">
        <f>SUM(Z8:AC8)</f>
        <v>4.961825681864107</v>
      </c>
    </row>
    <row r="9" spans="1:30" ht="12.75">
      <c r="A9" s="228" t="s">
        <v>134</v>
      </c>
      <c r="B9" s="1022">
        <f>SUM(B6:B8)</f>
        <v>25820</v>
      </c>
      <c r="C9" s="11"/>
      <c r="D9" s="11"/>
      <c r="E9" s="11"/>
      <c r="F9" s="11"/>
      <c r="G9" s="11"/>
      <c r="H9" s="11"/>
      <c r="I9" s="11"/>
      <c r="J9" s="11"/>
      <c r="K9" s="11"/>
      <c r="L9" s="11"/>
      <c r="M9" s="11"/>
      <c r="N9" s="11"/>
      <c r="O9" s="11"/>
      <c r="P9" s="11"/>
      <c r="Q9" s="11"/>
      <c r="R9" s="11"/>
      <c r="S9" s="11"/>
      <c r="T9" s="11"/>
      <c r="U9" s="11"/>
      <c r="V9" s="11"/>
      <c r="W9" s="11"/>
      <c r="X9" s="11"/>
      <c r="Y9" s="11"/>
      <c r="Z9" s="1022">
        <f>SUM(Z6:Z8)</f>
        <v>9.663392907952183</v>
      </c>
      <c r="AA9" s="1048">
        <f>SUM(AA6:AA8)</f>
        <v>0.3596816744279466</v>
      </c>
      <c r="AB9" s="1048">
        <f>SUM(AB6:AB8)</f>
        <v>0.7104337774260733</v>
      </c>
      <c r="AC9" s="1048">
        <f>SUM(AC6:AC8)</f>
        <v>0.6672814502459168</v>
      </c>
      <c r="AD9" s="11"/>
    </row>
    <row r="13" ht="12.75">
      <c r="A13" s="13" t="s">
        <v>1119</v>
      </c>
    </row>
    <row r="14" spans="1:16" s="4" customFormat="1" ht="12.75">
      <c r="A14"/>
      <c r="C14" t="s">
        <v>1103</v>
      </c>
      <c r="D14"/>
      <c r="E14"/>
      <c r="F14" s="175"/>
      <c r="G14" s="175"/>
      <c r="H14" s="175"/>
      <c r="P14" s="175"/>
    </row>
    <row r="15" ht="12.75">
      <c r="C15" t="s">
        <v>1104</v>
      </c>
    </row>
    <row r="16" spans="3:6" ht="12.75">
      <c r="C16" t="s">
        <v>1107</v>
      </c>
      <c r="D16" t="s">
        <v>140</v>
      </c>
      <c r="E16" t="s">
        <v>465</v>
      </c>
      <c r="F16" t="s">
        <v>701</v>
      </c>
    </row>
    <row r="17" spans="1:7" ht="12.75">
      <c r="A17" s="13" t="s">
        <v>1121</v>
      </c>
      <c r="B17" s="234">
        <f>B20*(Sheep!B9/(Sheep!B9+Sheep!B6+Sheep!B7))</f>
        <v>5919.654178674352</v>
      </c>
      <c r="C17" s="178">
        <f>1000*8/12</f>
        <v>666.6666666666666</v>
      </c>
      <c r="D17" s="14">
        <f>1*((8/12)*365)*0.5</f>
        <v>121.66666666666666</v>
      </c>
      <c r="E17" s="14">
        <f>1*((8/12)*365)*0.25</f>
        <v>60.83333333333333</v>
      </c>
      <c r="F17" s="14">
        <f>1*((8/12)*365)*0.25</f>
        <v>60.83333333333333</v>
      </c>
      <c r="G17" s="15" t="s">
        <v>1118</v>
      </c>
    </row>
    <row r="18" spans="1:7" ht="12.75">
      <c r="A18" t="s">
        <v>1105</v>
      </c>
      <c r="B18" s="234">
        <f>B20*(Sheep!B6/(Sheep!B9+Sheep!B6+Sheep!B7))</f>
        <v>5138.126801152737</v>
      </c>
      <c r="C18" s="17">
        <v>1800</v>
      </c>
      <c r="D18" s="14">
        <f>2*365*0.5</f>
        <v>365</v>
      </c>
      <c r="E18" s="14">
        <f>2*365*0.25</f>
        <v>182.5</v>
      </c>
      <c r="F18" s="14">
        <f>2*365*0.25</f>
        <v>182.5</v>
      </c>
      <c r="G18" s="15" t="s">
        <v>1117</v>
      </c>
    </row>
    <row r="19" spans="1:7" ht="12.75">
      <c r="A19" t="s">
        <v>1106</v>
      </c>
      <c r="B19" s="234">
        <f>B20*(Sheep!B7/(Sheep!B9+Sheep!B6+Sheep!B7))</f>
        <v>482.21902017291063</v>
      </c>
      <c r="C19" s="1046">
        <v>1000</v>
      </c>
      <c r="D19" s="14">
        <f>1*365*0.5</f>
        <v>182.5</v>
      </c>
      <c r="E19" s="14">
        <f>1*365*0.25</f>
        <v>91.25</v>
      </c>
      <c r="F19" s="14">
        <f>1*365*0.25</f>
        <v>91.25</v>
      </c>
      <c r="G19" s="15" t="s">
        <v>1118</v>
      </c>
    </row>
    <row r="20" spans="1:13" ht="12.75">
      <c r="A20" t="s">
        <v>134</v>
      </c>
      <c r="B20" s="1">
        <v>11540</v>
      </c>
      <c r="C20" s="14">
        <f>($B$17*C17+$B$18*C18+$B$19*C19)/$B$20</f>
        <v>1185.2065321805956</v>
      </c>
      <c r="D20" s="14">
        <f>($B$17*D17+$B$18*D18+$B$19*D19)/$B$20</f>
        <v>232.55163304514886</v>
      </c>
      <c r="E20" s="14">
        <f>($B$17*E17+$B$18*E18+$B$19*E19)/$B$20</f>
        <v>116.27581652257443</v>
      </c>
      <c r="F20" s="14">
        <f>($B$17*F17+$B$18*F18+$B$19*F19)/$B$20</f>
        <v>116.27581652257443</v>
      </c>
      <c r="G20" s="14"/>
      <c r="M20" s="234"/>
    </row>
    <row r="21" spans="2:5" ht="12.75">
      <c r="B21" s="234"/>
      <c r="C21" s="14"/>
      <c r="D21" s="14"/>
      <c r="E21" s="14"/>
    </row>
    <row r="22" ht="12.75">
      <c r="A22" s="1041" t="s">
        <v>1115</v>
      </c>
    </row>
    <row r="23" spans="1:3" ht="12.75">
      <c r="A23" t="s">
        <v>1116</v>
      </c>
      <c r="B23">
        <f>2000*0.9</f>
        <v>1800</v>
      </c>
      <c r="C23" t="s">
        <v>59</v>
      </c>
    </row>
    <row r="26" ht="12.75">
      <c r="A26" t="s">
        <v>1112</v>
      </c>
    </row>
    <row r="27" spans="1:2" ht="12.75">
      <c r="A27" t="s">
        <v>1109</v>
      </c>
      <c r="B27" t="s">
        <v>1110</v>
      </c>
    </row>
    <row r="28" spans="1:3" ht="12.75">
      <c r="A28" t="s">
        <v>1114</v>
      </c>
      <c r="B28">
        <v>0.75</v>
      </c>
      <c r="C28">
        <f>B28*8</f>
        <v>6</v>
      </c>
    </row>
    <row r="29" spans="1:3" ht="12.75">
      <c r="A29" t="s">
        <v>1108</v>
      </c>
      <c r="B29">
        <v>1.5</v>
      </c>
      <c r="C29">
        <f>B29*4</f>
        <v>6</v>
      </c>
    </row>
    <row r="30" spans="1:3" ht="12.75">
      <c r="A30" t="s">
        <v>1111</v>
      </c>
      <c r="B30">
        <f>(3+1.5)/2</f>
        <v>2.25</v>
      </c>
      <c r="C30">
        <f>B30*4</f>
        <v>9</v>
      </c>
    </row>
    <row r="31" spans="1:3" ht="12.75">
      <c r="A31" t="s">
        <v>1113</v>
      </c>
      <c r="B31">
        <v>2.25</v>
      </c>
      <c r="C31">
        <f>B31*36</f>
        <v>81</v>
      </c>
    </row>
    <row r="32" spans="3:4" ht="12.75">
      <c r="C32">
        <f>SUM(C28:C31)</f>
        <v>102</v>
      </c>
      <c r="D32" s="1040">
        <f>C32/52</f>
        <v>1.9615384615384615</v>
      </c>
    </row>
    <row r="34" ht="12.75">
      <c r="A34" s="13" t="s">
        <v>1120</v>
      </c>
    </row>
    <row r="35" spans="1:7" ht="12.75">
      <c r="A35" s="13" t="s">
        <v>1122</v>
      </c>
      <c r="B35" s="13" t="s">
        <v>1123</v>
      </c>
      <c r="C35" s="13" t="s">
        <v>1082</v>
      </c>
      <c r="D35" s="13" t="s">
        <v>134</v>
      </c>
      <c r="F35" s="13" t="s">
        <v>1087</v>
      </c>
      <c r="G35" s="13" t="s">
        <v>1125</v>
      </c>
    </row>
    <row r="36" spans="1:7" ht="12.75">
      <c r="A36" s="13" t="s">
        <v>1105</v>
      </c>
      <c r="B36">
        <v>1</v>
      </c>
      <c r="C36">
        <v>26</v>
      </c>
      <c r="D36">
        <f>C36*B36+C37*B37</f>
        <v>32.5</v>
      </c>
      <c r="F36" s="14">
        <f>B8*B18/B20</f>
        <v>5814.899135446685</v>
      </c>
      <c r="G36" s="49"/>
    </row>
    <row r="37" spans="1:7" ht="12.75">
      <c r="A37" s="13"/>
      <c r="B37">
        <v>0.5</v>
      </c>
      <c r="C37">
        <v>13</v>
      </c>
      <c r="F37" s="14"/>
      <c r="G37" s="49"/>
    </row>
    <row r="38" spans="1:7" ht="12.75">
      <c r="A38" s="13"/>
      <c r="B38">
        <v>0</v>
      </c>
      <c r="C38">
        <v>13</v>
      </c>
      <c r="F38" s="14"/>
      <c r="G38" s="49"/>
    </row>
    <row r="39" spans="1:7" ht="12.75">
      <c r="A39" s="13" t="s">
        <v>1106</v>
      </c>
      <c r="B39">
        <v>1</v>
      </c>
      <c r="C39">
        <v>26</v>
      </c>
      <c r="D39">
        <f>C39*B39+C40*B40</f>
        <v>29.25</v>
      </c>
      <c r="F39" s="14">
        <f>B8*B19/B20</f>
        <v>545.7348703170028</v>
      </c>
      <c r="G39" s="49"/>
    </row>
    <row r="40" spans="1:7" ht="12.75">
      <c r="A40" s="13"/>
      <c r="B40">
        <v>0.25</v>
      </c>
      <c r="C40">
        <v>13</v>
      </c>
      <c r="F40" s="14"/>
      <c r="G40" s="49"/>
    </row>
    <row r="41" spans="1:7" ht="12.75">
      <c r="A41" s="13"/>
      <c r="B41">
        <v>0</v>
      </c>
      <c r="C41">
        <v>13</v>
      </c>
      <c r="F41" s="14"/>
      <c r="G41" s="49"/>
    </row>
    <row r="42" spans="1:7" ht="12.75">
      <c r="A42" s="13" t="s">
        <v>1121</v>
      </c>
      <c r="B42">
        <v>1</v>
      </c>
      <c r="C42">
        <v>26</v>
      </c>
      <c r="D42">
        <f>C42*B42+C43*B43</f>
        <v>26</v>
      </c>
      <c r="F42" s="14">
        <f>B8*B17/B20</f>
        <v>6699.365994236311</v>
      </c>
      <c r="G42" s="49"/>
    </row>
    <row r="43" spans="2:6" ht="12.75">
      <c r="B43">
        <v>0</v>
      </c>
      <c r="C43">
        <v>26</v>
      </c>
      <c r="F43" s="234"/>
    </row>
    <row r="44" spans="6:7" ht="12.75">
      <c r="F44" s="234">
        <f>SUM(F36:F43)</f>
        <v>13060</v>
      </c>
      <c r="G44" s="58">
        <f>(F36*D36+D39*F39+D42*F42)/F44</f>
        <v>29.029899135446684</v>
      </c>
    </row>
    <row r="46" ht="12.75">
      <c r="A46" t="s">
        <v>1124</v>
      </c>
    </row>
    <row r="47" spans="1:2" ht="12.75">
      <c r="A47" s="13" t="s">
        <v>140</v>
      </c>
      <c r="B47" s="955">
        <v>0.8</v>
      </c>
    </row>
    <row r="48" spans="1:2" ht="12.75">
      <c r="A48" s="13" t="s">
        <v>465</v>
      </c>
      <c r="B48" s="955">
        <v>0.2</v>
      </c>
    </row>
  </sheetData>
  <sheetProtection/>
  <mergeCells count="10">
    <mergeCell ref="G3:Y3"/>
    <mergeCell ref="R5:Y5"/>
    <mergeCell ref="C3:F3"/>
    <mergeCell ref="C5:F5"/>
    <mergeCell ref="B3:B4"/>
    <mergeCell ref="Z3:AD3"/>
    <mergeCell ref="G4:L4"/>
    <mergeCell ref="M4:R4"/>
    <mergeCell ref="S4:X4"/>
    <mergeCell ref="G5:K5"/>
  </mergeCells>
  <printOptions/>
  <pageMargins left="0.7" right="0.7" top="0.75" bottom="0.75" header="0.3" footer="0.3"/>
  <pageSetup orientation="portrait"/>
  <legacyDrawing r:id="rId2"/>
</worksheet>
</file>

<file path=xl/worksheets/sheet22.xml><?xml version="1.0" encoding="utf-8"?>
<worksheet xmlns="http://schemas.openxmlformats.org/spreadsheetml/2006/main" xmlns:r="http://schemas.openxmlformats.org/officeDocument/2006/relationships">
  <dimension ref="A1:W33"/>
  <sheetViews>
    <sheetView zoomScalePageLayoutView="0" workbookViewId="0" topLeftCell="A1">
      <selection activeCell="C8" sqref="C8"/>
    </sheetView>
  </sheetViews>
  <sheetFormatPr defaultColWidth="8.8515625" defaultRowHeight="12.75"/>
  <cols>
    <col min="1" max="1" width="31.7109375" style="0" customWidth="1"/>
    <col min="2" max="2" width="15.7109375" style="0" customWidth="1"/>
    <col min="3" max="3" width="12.8515625" style="0" customWidth="1"/>
    <col min="4" max="4" width="9.28125" style="0" customWidth="1"/>
    <col min="5" max="5" width="8.8515625" style="0" customWidth="1"/>
    <col min="6" max="10" width="0" style="0" hidden="1" customWidth="1"/>
    <col min="11" max="11" width="8.8515625" style="0" customWidth="1"/>
    <col min="12" max="16" width="0" style="0" hidden="1" customWidth="1"/>
    <col min="17" max="17" width="8.8515625" style="0" customWidth="1"/>
    <col min="18" max="18" width="21.421875" style="0" customWidth="1"/>
    <col min="19" max="19" width="23.140625" style="0" customWidth="1"/>
    <col min="20" max="20" width="11.140625" style="0" customWidth="1"/>
    <col min="21" max="21" width="12.421875" style="0" customWidth="1"/>
    <col min="22" max="22" width="10.28125" style="0" customWidth="1"/>
  </cols>
  <sheetData>
    <row r="1" ht="15">
      <c r="A1" s="1052" t="s">
        <v>1133</v>
      </c>
    </row>
    <row r="2" spans="2:20" ht="12.75">
      <c r="B2" s="1421" t="s">
        <v>990</v>
      </c>
      <c r="C2" s="1421" t="s">
        <v>965</v>
      </c>
      <c r="D2" s="1432" t="s">
        <v>1044</v>
      </c>
      <c r="E2" s="1431"/>
      <c r="F2" s="1422" t="s">
        <v>190</v>
      </c>
      <c r="G2" s="1422"/>
      <c r="H2" s="1422"/>
      <c r="I2" s="1422"/>
      <c r="J2" s="1422"/>
      <c r="K2" s="1422"/>
      <c r="L2" s="1422"/>
      <c r="M2" s="1422"/>
      <c r="N2" s="1422"/>
      <c r="O2" s="1422"/>
      <c r="P2" s="1422"/>
      <c r="Q2" s="1422"/>
      <c r="R2" s="1422" t="s">
        <v>550</v>
      </c>
      <c r="S2" s="1422"/>
      <c r="T2" s="1422"/>
    </row>
    <row r="3" spans="2:20" ht="12.75">
      <c r="B3" s="1421"/>
      <c r="C3" s="1421"/>
      <c r="D3" s="174" t="s">
        <v>140</v>
      </c>
      <c r="E3" s="174" t="s">
        <v>465</v>
      </c>
      <c r="F3" s="1343" t="s">
        <v>140</v>
      </c>
      <c r="G3" s="1423"/>
      <c r="H3" s="1423"/>
      <c r="I3" s="1423"/>
      <c r="J3" s="1423"/>
      <c r="K3" s="1344"/>
      <c r="L3" s="1260" t="s">
        <v>465</v>
      </c>
      <c r="M3" s="1423"/>
      <c r="N3" s="1423"/>
      <c r="O3" s="1423"/>
      <c r="P3" s="1423"/>
      <c r="Q3" s="1344"/>
      <c r="R3" s="463" t="s">
        <v>140</v>
      </c>
      <c r="S3" s="375" t="s">
        <v>465</v>
      </c>
      <c r="T3" s="755" t="s">
        <v>134</v>
      </c>
    </row>
    <row r="4" spans="2:20" ht="12.75">
      <c r="B4" s="1025" t="s">
        <v>125</v>
      </c>
      <c r="C4" s="1025" t="s">
        <v>1053</v>
      </c>
      <c r="D4" s="1404" t="s">
        <v>33</v>
      </c>
      <c r="E4" s="1406"/>
      <c r="F4" s="872"/>
      <c r="G4" s="872"/>
      <c r="H4" s="872"/>
      <c r="I4" s="872"/>
      <c r="J4" s="872"/>
      <c r="K4" s="1415" t="s">
        <v>170</v>
      </c>
      <c r="L4" s="1415"/>
      <c r="M4" s="1415"/>
      <c r="N4" s="1415"/>
      <c r="O4" s="1415"/>
      <c r="P4" s="1415"/>
      <c r="Q4" s="1416"/>
      <c r="R4" s="1434" t="s">
        <v>942</v>
      </c>
      <c r="S4" s="1435"/>
      <c r="T4" s="1436"/>
    </row>
    <row r="5" spans="1:13" ht="12.75">
      <c r="A5" s="40" t="s">
        <v>1095</v>
      </c>
      <c r="B5" s="14">
        <v>4840</v>
      </c>
      <c r="C5" s="14"/>
      <c r="D5" s="14"/>
      <c r="E5" s="14"/>
      <c r="F5" s="14"/>
      <c r="G5" s="14"/>
      <c r="H5" s="14"/>
      <c r="I5" s="14"/>
      <c r="J5" s="14"/>
      <c r="K5" s="14"/>
      <c r="L5" s="14"/>
      <c r="M5" s="14"/>
    </row>
    <row r="6" spans="1:20" ht="12.75">
      <c r="A6" s="1026" t="s">
        <v>1096</v>
      </c>
      <c r="B6" s="32">
        <v>44239.99999999999</v>
      </c>
      <c r="C6" s="32">
        <f>8869800*0.74</f>
        <v>6563652</v>
      </c>
      <c r="D6" s="32">
        <v>682.3</v>
      </c>
      <c r="E6" s="32">
        <v>224.2</v>
      </c>
      <c r="F6" s="43">
        <v>6384</v>
      </c>
      <c r="G6" s="43">
        <v>5656</v>
      </c>
      <c r="H6" s="42">
        <v>5488</v>
      </c>
      <c r="I6" s="42">
        <v>5880</v>
      </c>
      <c r="J6" s="43">
        <v>5432</v>
      </c>
      <c r="K6" s="43">
        <f>Grain!I10</f>
        <v>8383.199999999999</v>
      </c>
      <c r="L6" s="43">
        <v>2460</v>
      </c>
      <c r="M6" s="43">
        <v>2220</v>
      </c>
      <c r="N6" s="42">
        <v>1980</v>
      </c>
      <c r="O6" s="42">
        <v>1980</v>
      </c>
      <c r="P6" s="43">
        <v>1920</v>
      </c>
      <c r="Q6" s="43">
        <f>OilsY!G7*(48/60)</f>
        <v>2005.4400000000003</v>
      </c>
      <c r="R6" s="175">
        <f>B6*D6/K6/1000</f>
        <v>3.60064796259185</v>
      </c>
      <c r="S6" s="175">
        <f>B6*E6/Q6/1000</f>
        <v>4.9458512845061415</v>
      </c>
      <c r="T6" s="175">
        <f>R6+S6</f>
        <v>8.54649924709799</v>
      </c>
    </row>
    <row r="7" spans="1:20" ht="12.75">
      <c r="A7" s="1021"/>
      <c r="B7" s="32"/>
      <c r="C7" s="4"/>
      <c r="D7" s="32"/>
      <c r="E7" s="32"/>
      <c r="F7" s="32"/>
      <c r="G7" s="32"/>
      <c r="H7" s="32"/>
      <c r="I7" s="32"/>
      <c r="J7" s="32"/>
      <c r="K7" s="32"/>
      <c r="L7" s="32"/>
      <c r="M7" s="32"/>
      <c r="N7" s="4"/>
      <c r="O7" s="4"/>
      <c r="P7" s="4"/>
      <c r="Q7" s="4"/>
      <c r="R7" s="4"/>
      <c r="S7" s="4"/>
      <c r="T7" s="4"/>
    </row>
    <row r="8" spans="1:20" ht="12.75">
      <c r="A8" s="40" t="s">
        <v>1094</v>
      </c>
      <c r="B8" s="14">
        <f>C8/(250*0.74)</f>
        <v>4910725.552128705</v>
      </c>
      <c r="C8" s="14">
        <f>Protein!G15-Pigs!C6</f>
        <v>908484227.1438104</v>
      </c>
      <c r="D8" s="14">
        <v>682.3</v>
      </c>
      <c r="E8" s="14">
        <v>224.2</v>
      </c>
      <c r="F8" s="15">
        <v>6384</v>
      </c>
      <c r="G8" s="15">
        <v>5656</v>
      </c>
      <c r="H8" s="42">
        <v>5488</v>
      </c>
      <c r="I8" s="42">
        <v>5880</v>
      </c>
      <c r="J8" s="15">
        <v>5432</v>
      </c>
      <c r="K8" s="15">
        <f>Grain!I10</f>
        <v>8383.199999999999</v>
      </c>
      <c r="L8" s="15">
        <v>2460</v>
      </c>
      <c r="M8" s="15">
        <v>2220</v>
      </c>
      <c r="N8" s="42">
        <v>1980</v>
      </c>
      <c r="O8" s="42">
        <v>1980</v>
      </c>
      <c r="P8" s="15">
        <v>1920</v>
      </c>
      <c r="Q8" s="15">
        <f>OilsY!G7*(48/60)</f>
        <v>2005.4400000000003</v>
      </c>
      <c r="R8" s="234">
        <f>B8*D8/K8/1000</f>
        <v>399.6788868471963</v>
      </c>
      <c r="S8" s="234">
        <f>B8*E8/Q8/1000</f>
        <v>548.9990569587002</v>
      </c>
      <c r="T8" s="234">
        <f>R8+S8</f>
        <v>948.6779438058965</v>
      </c>
    </row>
    <row r="9" spans="2:13" ht="12.75">
      <c r="B9" s="14"/>
      <c r="C9" s="14"/>
      <c r="D9" s="14"/>
      <c r="E9" s="14"/>
      <c r="F9" s="14"/>
      <c r="G9" s="14"/>
      <c r="H9" s="14"/>
      <c r="I9" s="14"/>
      <c r="J9" s="14"/>
      <c r="K9" s="14"/>
      <c r="L9" s="14"/>
      <c r="M9" s="14"/>
    </row>
    <row r="10" spans="1:20" ht="12.75">
      <c r="A10" s="346" t="s">
        <v>1057</v>
      </c>
      <c r="B10" s="367"/>
      <c r="C10" s="367">
        <f>C8+C6</f>
        <v>915047879.1438104</v>
      </c>
      <c r="D10" s="367"/>
      <c r="E10" s="367"/>
      <c r="F10" s="367"/>
      <c r="G10" s="367"/>
      <c r="H10" s="367"/>
      <c r="I10" s="367"/>
      <c r="J10" s="367"/>
      <c r="K10" s="367"/>
      <c r="L10" s="367"/>
      <c r="M10" s="367"/>
      <c r="N10" s="11"/>
      <c r="O10" s="11"/>
      <c r="P10" s="11"/>
      <c r="Q10" s="11"/>
      <c r="R10" s="1022">
        <f>R8+R6</f>
        <v>403.2795348097881</v>
      </c>
      <c r="S10" s="1022">
        <f>S8+S6</f>
        <v>553.9449082432063</v>
      </c>
      <c r="T10" s="1022">
        <f>T8+T6</f>
        <v>957.2244430529945</v>
      </c>
    </row>
    <row r="11" spans="2:13" ht="12.75">
      <c r="B11" s="14"/>
      <c r="C11" s="14"/>
      <c r="D11" s="14"/>
      <c r="E11" s="14"/>
      <c r="F11" s="14"/>
      <c r="G11" s="14"/>
      <c r="H11" s="14"/>
      <c r="I11" s="14"/>
      <c r="J11" s="14"/>
      <c r="K11" s="14"/>
      <c r="L11" s="14"/>
      <c r="M11" s="14"/>
    </row>
    <row r="12" spans="2:13" ht="12.75">
      <c r="B12" s="14"/>
      <c r="C12" s="14"/>
      <c r="D12" s="14"/>
      <c r="E12" s="14"/>
      <c r="F12" s="14"/>
      <c r="G12" s="14"/>
      <c r="H12" s="14"/>
      <c r="I12" s="14"/>
      <c r="J12" s="14"/>
      <c r="K12" s="14"/>
      <c r="L12" s="14"/>
      <c r="M12" s="14"/>
    </row>
    <row r="13" spans="2:13" ht="12.75">
      <c r="B13" s="14"/>
      <c r="C13" s="14"/>
      <c r="D13" s="14"/>
      <c r="E13" s="14"/>
      <c r="F13" s="14"/>
      <c r="G13" s="14"/>
      <c r="H13" s="14"/>
      <c r="I13" s="14"/>
      <c r="J13" s="14"/>
      <c r="K13" s="14"/>
      <c r="L13" s="14"/>
      <c r="M13" s="14"/>
    </row>
    <row r="14" spans="2:13" ht="12.75">
      <c r="B14" s="14"/>
      <c r="C14" s="14"/>
      <c r="D14" s="14"/>
      <c r="E14" s="14"/>
      <c r="F14" s="14"/>
      <c r="G14" s="14"/>
      <c r="H14" s="14"/>
      <c r="I14" s="14"/>
      <c r="J14" s="14"/>
      <c r="K14" s="14"/>
      <c r="L14" s="14"/>
      <c r="M14" s="14"/>
    </row>
    <row r="15" spans="2:13" ht="12.75">
      <c r="B15" s="14"/>
      <c r="C15" s="14"/>
      <c r="D15" s="14"/>
      <c r="E15" s="14"/>
      <c r="F15" s="14"/>
      <c r="G15" s="14"/>
      <c r="H15" s="14"/>
      <c r="I15" s="14"/>
      <c r="J15" s="14"/>
      <c r="K15" s="14"/>
      <c r="L15" s="14"/>
      <c r="M15" s="14"/>
    </row>
    <row r="16" spans="2:13" ht="12.75">
      <c r="B16" s="14"/>
      <c r="C16" s="14"/>
      <c r="D16" s="14"/>
      <c r="E16" s="14"/>
      <c r="F16" s="14"/>
      <c r="G16" s="14"/>
      <c r="H16" s="14"/>
      <c r="I16" s="14"/>
      <c r="J16" s="14"/>
      <c r="K16" s="14"/>
      <c r="L16" s="14"/>
      <c r="M16" s="14"/>
    </row>
    <row r="17" spans="1:13" ht="12.75">
      <c r="A17" t="s">
        <v>1090</v>
      </c>
      <c r="B17" s="14"/>
      <c r="C17" s="14"/>
      <c r="D17" s="14"/>
      <c r="E17" s="14"/>
      <c r="F17" s="14"/>
      <c r="G17" s="14"/>
      <c r="H17" s="14"/>
      <c r="I17" s="14"/>
      <c r="J17" s="14"/>
      <c r="K17" s="14"/>
      <c r="L17" s="14"/>
      <c r="M17" s="14"/>
    </row>
    <row r="18" spans="1:9" s="13" customFormat="1" ht="12.75">
      <c r="A18" s="41" t="s">
        <v>391</v>
      </c>
      <c r="B18" s="928">
        <f>Protein!B28</f>
        <v>0</v>
      </c>
      <c r="C18" s="929"/>
      <c r="D18" s="929"/>
      <c r="E18" s="929"/>
      <c r="F18" s="929" t="s">
        <v>345</v>
      </c>
      <c r="G18" s="929"/>
      <c r="H18" s="930"/>
      <c r="I18" s="930"/>
    </row>
    <row r="19" spans="1:22" s="929" customFormat="1" ht="12.75">
      <c r="A19" s="41" t="s">
        <v>392</v>
      </c>
      <c r="B19" s="1033">
        <f>Protein!F15</f>
        <v>63.10675028578002</v>
      </c>
      <c r="C19" s="931"/>
      <c r="Q19" s="931"/>
      <c r="R19" s="931" t="s">
        <v>379</v>
      </c>
      <c r="S19" s="932">
        <v>180</v>
      </c>
      <c r="T19" s="931"/>
      <c r="U19" s="933"/>
      <c r="V19" s="931"/>
    </row>
    <row r="20" spans="1:21" s="931" customFormat="1" ht="12.75" customHeight="1">
      <c r="A20" s="41" t="s">
        <v>366</v>
      </c>
      <c r="B20" s="934">
        <f>B19*14500000</f>
        <v>915047879.1438104</v>
      </c>
      <c r="R20" s="931" t="s">
        <v>380</v>
      </c>
      <c r="S20" s="935">
        <v>360</v>
      </c>
      <c r="U20" s="933"/>
    </row>
    <row r="21" spans="1:21" s="931" customFormat="1" ht="12.75">
      <c r="A21" s="44" t="s">
        <v>349</v>
      </c>
      <c r="B21" s="44">
        <v>0.9</v>
      </c>
      <c r="R21" s="931" t="s">
        <v>381</v>
      </c>
      <c r="S21" s="935">
        <v>360</v>
      </c>
      <c r="U21" s="933"/>
    </row>
    <row r="22" spans="1:21" s="931" customFormat="1" ht="12.75">
      <c r="A22" s="44" t="s">
        <v>351</v>
      </c>
      <c r="B22" s="44">
        <v>0.9</v>
      </c>
      <c r="U22" s="1024">
        <f>(T25+U27)/S25</f>
        <v>0.18989999999999999</v>
      </c>
    </row>
    <row r="23" spans="1:21" s="931" customFormat="1" ht="12.75">
      <c r="A23" s="44" t="s">
        <v>371</v>
      </c>
      <c r="B23" s="44">
        <v>21</v>
      </c>
      <c r="U23" s="933"/>
    </row>
    <row r="24" spans="1:22" s="931" customFormat="1" ht="12.75">
      <c r="A24" s="44" t="s">
        <v>353</v>
      </c>
      <c r="B24" s="44">
        <v>0.15</v>
      </c>
      <c r="R24" s="250" t="s">
        <v>382</v>
      </c>
      <c r="S24" s="936" t="s">
        <v>383</v>
      </c>
      <c r="T24" s="936" t="s">
        <v>384</v>
      </c>
      <c r="U24" s="250" t="s">
        <v>393</v>
      </c>
      <c r="V24" s="936"/>
    </row>
    <row r="25" spans="1:22" s="931" customFormat="1" ht="12.75">
      <c r="A25" s="937" t="s">
        <v>385</v>
      </c>
      <c r="B25" s="938">
        <v>0.8</v>
      </c>
      <c r="R25" s="939">
        <f>B20</f>
        <v>915047879.1438104</v>
      </c>
      <c r="S25" s="939">
        <f>R25/((S19*B21*B22*B23)+(S20*B24*B25)+(S21*B27*B29*B30)-(S19*B24)-(S19*B27*B29))</f>
        <v>297183.2783569172</v>
      </c>
      <c r="T25" s="940">
        <f>S25*B27</f>
        <v>8915.498350707516</v>
      </c>
      <c r="U25" s="941">
        <f>S25*B21*B22*B23</f>
        <v>5055087.564851163</v>
      </c>
      <c r="V25" s="936"/>
    </row>
    <row r="26" spans="1:22" s="931" customFormat="1" ht="12.75">
      <c r="A26" s="44" t="s">
        <v>355</v>
      </c>
      <c r="B26" s="942">
        <v>0.875</v>
      </c>
      <c r="R26" s="936"/>
      <c r="S26" s="939"/>
      <c r="T26" s="936"/>
      <c r="U26" s="936" t="s">
        <v>386</v>
      </c>
      <c r="V26" s="250" t="s">
        <v>387</v>
      </c>
    </row>
    <row r="27" spans="1:22" s="931" customFormat="1" ht="12.75">
      <c r="A27" s="44" t="s">
        <v>356</v>
      </c>
      <c r="B27" s="44">
        <f>3/100</f>
        <v>0.03</v>
      </c>
      <c r="C27" s="933" t="s">
        <v>388</v>
      </c>
      <c r="R27" s="936"/>
      <c r="S27" s="940"/>
      <c r="T27" s="936"/>
      <c r="U27" s="940">
        <f>(S25*B24)+(S25*B27*B29)</f>
        <v>47519.606209271056</v>
      </c>
      <c r="V27" s="941">
        <f>(S25*B21*B22*B23)-(S25*B24)-(T25*B29)</f>
        <v>5007567.958641892</v>
      </c>
    </row>
    <row r="28" spans="1:23" s="931" customFormat="1" ht="12.75">
      <c r="A28" s="44" t="s">
        <v>357</v>
      </c>
      <c r="B28" s="942">
        <v>0.625</v>
      </c>
      <c r="R28" s="936"/>
      <c r="S28" s="936"/>
      <c r="T28" s="936"/>
      <c r="U28" s="944"/>
      <c r="V28" s="939"/>
      <c r="W28" s="943"/>
    </row>
    <row r="29" spans="1:22" s="931" customFormat="1" ht="12.75">
      <c r="A29" s="937" t="s">
        <v>358</v>
      </c>
      <c r="B29" s="937">
        <v>0.33</v>
      </c>
      <c r="R29" s="936"/>
      <c r="S29" s="250" t="s">
        <v>394</v>
      </c>
      <c r="T29" s="250" t="s">
        <v>395</v>
      </c>
      <c r="U29" s="250" t="s">
        <v>389</v>
      </c>
      <c r="V29" s="936"/>
    </row>
    <row r="30" spans="1:22" s="931" customFormat="1" ht="16.5" customHeight="1">
      <c r="A30" s="937" t="s">
        <v>390</v>
      </c>
      <c r="B30" s="391">
        <v>0.8</v>
      </c>
      <c r="R30" s="940"/>
      <c r="S30" s="939">
        <f>S25*B24*B25</f>
        <v>35661.99340283006</v>
      </c>
      <c r="T30" s="939">
        <f>T25*B29*B30</f>
        <v>2353.6915645867844</v>
      </c>
      <c r="U30" s="945">
        <f>V27</f>
        <v>5007567.958641892</v>
      </c>
      <c r="V30" s="936"/>
    </row>
    <row r="31" spans="18:22" s="931" customFormat="1" ht="12.75">
      <c r="R31" s="936"/>
      <c r="S31" s="946"/>
      <c r="T31" s="946"/>
      <c r="U31" s="250"/>
      <c r="V31" s="936"/>
    </row>
    <row r="32" spans="17:22" s="931" customFormat="1" ht="12.75">
      <c r="Q32" s="931" t="s">
        <v>345</v>
      </c>
      <c r="R32" s="940">
        <f>SUM(S32:U32)</f>
        <v>915047879.1438106</v>
      </c>
      <c r="S32" s="946">
        <f>S30*S20</f>
        <v>12838317.625018822</v>
      </c>
      <c r="T32" s="940">
        <f>T30*S21</f>
        <v>847328.9632512424</v>
      </c>
      <c r="U32" s="941">
        <f>U30*S19</f>
        <v>901362232.5555406</v>
      </c>
      <c r="V32" s="936"/>
    </row>
    <row r="33" spans="18:22" s="931" customFormat="1" ht="12.75">
      <c r="R33" s="940"/>
      <c r="S33" s="940"/>
      <c r="T33" s="940"/>
      <c r="U33" s="941"/>
      <c r="V33" s="936"/>
    </row>
  </sheetData>
  <sheetProtection/>
  <mergeCells count="10">
    <mergeCell ref="B2:B3"/>
    <mergeCell ref="D2:E2"/>
    <mergeCell ref="D4:E4"/>
    <mergeCell ref="F2:Q2"/>
    <mergeCell ref="R2:T2"/>
    <mergeCell ref="F3:K3"/>
    <mergeCell ref="L3:Q3"/>
    <mergeCell ref="R4:T4"/>
    <mergeCell ref="K4:Q4"/>
    <mergeCell ref="C2:C3"/>
  </mergeCells>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dimension ref="A1:AB90"/>
  <sheetViews>
    <sheetView zoomScalePageLayoutView="0" workbookViewId="0" topLeftCell="A1">
      <selection activeCell="E58" sqref="E58"/>
    </sheetView>
  </sheetViews>
  <sheetFormatPr defaultColWidth="8.8515625" defaultRowHeight="12.75"/>
  <cols>
    <col min="1" max="1" width="36.421875" style="0" customWidth="1"/>
    <col min="2" max="2" width="17.00390625" style="0" customWidth="1"/>
    <col min="3" max="3" width="16.421875" style="0" bestFit="1" customWidth="1"/>
    <col min="4" max="4" width="14.421875" style="0" customWidth="1"/>
    <col min="5" max="6" width="8.8515625" style="0" customWidth="1"/>
    <col min="7" max="11" width="0" style="0" hidden="1" customWidth="1"/>
    <col min="12" max="12" width="9.28125" style="0" bestFit="1" customWidth="1"/>
    <col min="13" max="17" width="0" style="0" hidden="1" customWidth="1"/>
    <col min="18" max="18" width="23.7109375" style="0" customWidth="1"/>
    <col min="19" max="19" width="11.28125" style="0" bestFit="1" customWidth="1"/>
    <col min="20" max="20" width="11.8515625" style="0" customWidth="1"/>
    <col min="21" max="21" width="14.421875" style="0" customWidth="1"/>
    <col min="22" max="22" width="12.421875" style="0" customWidth="1"/>
    <col min="23" max="23" width="8.8515625" style="0" customWidth="1"/>
    <col min="24" max="24" width="18.28125" style="0" customWidth="1"/>
  </cols>
  <sheetData>
    <row r="1" ht="15">
      <c r="A1" s="1052" t="s">
        <v>1134</v>
      </c>
    </row>
    <row r="2" spans="2:21" ht="12.75">
      <c r="B2" s="1421" t="s">
        <v>1065</v>
      </c>
      <c r="C2" s="1417" t="s">
        <v>965</v>
      </c>
      <c r="D2" s="1418"/>
      <c r="E2" s="1432" t="s">
        <v>1044</v>
      </c>
      <c r="F2" s="1431"/>
      <c r="G2" s="1422" t="s">
        <v>190</v>
      </c>
      <c r="H2" s="1422"/>
      <c r="I2" s="1422"/>
      <c r="J2" s="1422"/>
      <c r="K2" s="1422"/>
      <c r="L2" s="1422"/>
      <c r="M2" s="1422"/>
      <c r="N2" s="1422"/>
      <c r="O2" s="1422"/>
      <c r="P2" s="1422"/>
      <c r="Q2" s="1422"/>
      <c r="R2" s="1422"/>
      <c r="S2" s="1422" t="s">
        <v>550</v>
      </c>
      <c r="T2" s="1422"/>
      <c r="U2" s="1422"/>
    </row>
    <row r="3" spans="2:21" ht="12.75">
      <c r="B3" s="1421"/>
      <c r="C3" s="1419"/>
      <c r="D3" s="1420"/>
      <c r="E3" s="174" t="s">
        <v>140</v>
      </c>
      <c r="F3" s="174" t="s">
        <v>465</v>
      </c>
      <c r="G3" s="1343" t="s">
        <v>140</v>
      </c>
      <c r="H3" s="1423"/>
      <c r="I3" s="1423"/>
      <c r="J3" s="1423"/>
      <c r="K3" s="1423"/>
      <c r="L3" s="1344"/>
      <c r="M3" s="1260" t="s">
        <v>465</v>
      </c>
      <c r="N3" s="1423"/>
      <c r="O3" s="1423"/>
      <c r="P3" s="1423"/>
      <c r="Q3" s="1423"/>
      <c r="R3" s="1344"/>
      <c r="S3" s="463" t="s">
        <v>140</v>
      </c>
      <c r="T3" s="375" t="s">
        <v>465</v>
      </c>
      <c r="U3" s="755" t="s">
        <v>134</v>
      </c>
    </row>
    <row r="4" spans="2:21" ht="12.75">
      <c r="B4" s="1025" t="s">
        <v>125</v>
      </c>
      <c r="C4" s="1025" t="s">
        <v>805</v>
      </c>
      <c r="D4" s="276" t="s">
        <v>345</v>
      </c>
      <c r="E4" s="1404" t="s">
        <v>1068</v>
      </c>
      <c r="F4" s="1406"/>
      <c r="G4" s="872"/>
      <c r="H4" s="872"/>
      <c r="I4" s="872"/>
      <c r="J4" s="872"/>
      <c r="K4" s="872"/>
      <c r="L4" s="1415" t="s">
        <v>170</v>
      </c>
      <c r="M4" s="1415"/>
      <c r="N4" s="1415"/>
      <c r="O4" s="1415"/>
      <c r="P4" s="1415"/>
      <c r="Q4" s="1415"/>
      <c r="R4" s="1416"/>
      <c r="S4" s="1434" t="s">
        <v>942</v>
      </c>
      <c r="T4" s="1435"/>
      <c r="U4" s="1436"/>
    </row>
    <row r="5" spans="1:21" ht="12.75">
      <c r="A5" s="1026" t="s">
        <v>1059</v>
      </c>
      <c r="B5" s="32">
        <f>6756*1000</f>
        <v>6756000</v>
      </c>
      <c r="C5" s="32">
        <f>1856.8*1000000</f>
        <v>1856800000</v>
      </c>
      <c r="D5" s="14">
        <f>10600.6*1000*0.75</f>
        <v>7950450</v>
      </c>
      <c r="E5" s="32">
        <v>60.55</v>
      </c>
      <c r="F5" s="32">
        <v>30.27</v>
      </c>
      <c r="G5" s="43">
        <v>6384</v>
      </c>
      <c r="H5" s="43">
        <v>5656</v>
      </c>
      <c r="I5" s="42">
        <v>5488</v>
      </c>
      <c r="J5" s="42">
        <v>5880</v>
      </c>
      <c r="K5" s="43">
        <v>5432</v>
      </c>
      <c r="L5" s="43">
        <f>Grain!I10</f>
        <v>8383.199999999999</v>
      </c>
      <c r="M5" s="43">
        <v>2460</v>
      </c>
      <c r="N5" s="43">
        <v>2220</v>
      </c>
      <c r="O5" s="42">
        <v>1980</v>
      </c>
      <c r="P5" s="42">
        <v>1980</v>
      </c>
      <c r="Q5" s="43">
        <v>1920</v>
      </c>
      <c r="R5" s="43">
        <f>OilsY!G7*(48/60)</f>
        <v>2005.4400000000003</v>
      </c>
      <c r="S5" s="32">
        <f>(C5/300)*E5/L5/1000</f>
        <v>44.70418615007794</v>
      </c>
      <c r="T5" s="32">
        <f>(C5/300)*F5/R5/1000</f>
        <v>93.42145364608264</v>
      </c>
      <c r="U5" s="32">
        <f>S5+T5</f>
        <v>138.12563979616058</v>
      </c>
    </row>
    <row r="6" spans="1:21" ht="12.75">
      <c r="A6" s="13" t="s">
        <v>1066</v>
      </c>
      <c r="B6" s="14">
        <f>1456.6*1000</f>
        <v>1456600</v>
      </c>
      <c r="C6" s="14"/>
      <c r="D6" s="14"/>
      <c r="E6" s="14"/>
      <c r="F6" s="14"/>
      <c r="G6" s="14"/>
      <c r="H6" s="14"/>
      <c r="I6" s="14"/>
      <c r="J6" s="14"/>
      <c r="K6" s="14"/>
      <c r="L6" s="14"/>
      <c r="M6" s="14"/>
      <c r="N6" s="14"/>
      <c r="O6" s="14"/>
      <c r="P6" s="14"/>
      <c r="Q6" s="14"/>
      <c r="R6" s="14"/>
      <c r="S6" s="14"/>
      <c r="T6" s="14"/>
      <c r="U6" s="14"/>
    </row>
    <row r="7" spans="1:21" ht="12.75">
      <c r="A7" s="13" t="s">
        <v>1067</v>
      </c>
      <c r="B7" s="14">
        <f>17.4*1000</f>
        <v>17400</v>
      </c>
      <c r="C7" s="14"/>
      <c r="D7" s="14"/>
      <c r="E7" s="14"/>
      <c r="F7" s="14"/>
      <c r="G7" s="14"/>
      <c r="H7" s="14"/>
      <c r="I7" s="14"/>
      <c r="J7" s="14"/>
      <c r="K7" s="14"/>
      <c r="L7" s="14"/>
      <c r="M7" s="14"/>
      <c r="N7" s="14"/>
      <c r="O7" s="14"/>
      <c r="P7" s="14"/>
      <c r="Q7" s="14"/>
      <c r="R7" s="14"/>
      <c r="S7" s="14"/>
      <c r="T7" s="14"/>
      <c r="U7" s="14"/>
    </row>
    <row r="8" spans="1:21" ht="12.75">
      <c r="A8" s="188" t="s">
        <v>1060</v>
      </c>
      <c r="B8" s="14"/>
      <c r="C8" s="14">
        <f>Protein!G16-Poultry!C5</f>
        <v>2436645480.937658</v>
      </c>
      <c r="D8" s="14">
        <f>C8*(D5/C5)</f>
        <v>10433233.554459717</v>
      </c>
      <c r="E8" s="32">
        <v>60.55</v>
      </c>
      <c r="F8" s="32">
        <v>30.27</v>
      </c>
      <c r="G8" s="43">
        <v>6384</v>
      </c>
      <c r="H8" s="43">
        <v>5656</v>
      </c>
      <c r="I8" s="42">
        <v>5488</v>
      </c>
      <c r="J8" s="42">
        <v>5880</v>
      </c>
      <c r="K8" s="43">
        <v>5432</v>
      </c>
      <c r="L8" s="43">
        <f>Grain!I10</f>
        <v>8383.199999999999</v>
      </c>
      <c r="M8" s="43">
        <v>2460</v>
      </c>
      <c r="N8" s="43">
        <v>2220</v>
      </c>
      <c r="O8" s="42">
        <v>1980</v>
      </c>
      <c r="P8" s="42">
        <v>1980</v>
      </c>
      <c r="Q8" s="43">
        <v>1920</v>
      </c>
      <c r="R8" s="43">
        <f>OilsY!G7*(48/60)</f>
        <v>2005.4400000000003</v>
      </c>
      <c r="S8" s="32">
        <f>(C8/300)*E8/L8/1000</f>
        <v>58.6645051494955</v>
      </c>
      <c r="T8" s="32">
        <f>(C8/300)*F8/R8/1000</f>
        <v>122.59530528293524</v>
      </c>
      <c r="U8" s="32">
        <f>S8+T8</f>
        <v>181.25981043243075</v>
      </c>
    </row>
    <row r="9" spans="1:21" ht="12.75">
      <c r="A9" s="275" t="s">
        <v>134</v>
      </c>
      <c r="B9" s="367"/>
      <c r="C9" s="367"/>
      <c r="D9" s="367"/>
      <c r="E9" s="367"/>
      <c r="F9" s="367"/>
      <c r="G9" s="367"/>
      <c r="H9" s="367"/>
      <c r="I9" s="367"/>
      <c r="J9" s="367"/>
      <c r="K9" s="367"/>
      <c r="L9" s="367"/>
      <c r="M9" s="367"/>
      <c r="N9" s="367"/>
      <c r="O9" s="367"/>
      <c r="P9" s="367"/>
      <c r="Q9" s="367"/>
      <c r="R9" s="367"/>
      <c r="S9" s="367">
        <f>SUM(S5:S8)</f>
        <v>103.36869129957344</v>
      </c>
      <c r="T9" s="367">
        <f>SUM(T5:T8)</f>
        <v>216.0167589290179</v>
      </c>
      <c r="U9" s="367">
        <f>SUM(U5:U8)</f>
        <v>319.38545022859137</v>
      </c>
    </row>
    <row r="10" spans="2:21" ht="12.75">
      <c r="B10" s="14"/>
      <c r="C10" s="14"/>
      <c r="D10" s="14"/>
      <c r="E10" s="14"/>
      <c r="F10" s="14"/>
      <c r="G10" s="14"/>
      <c r="H10" s="14"/>
      <c r="I10" s="14"/>
      <c r="J10" s="14"/>
      <c r="K10" s="14"/>
      <c r="L10" s="14"/>
      <c r="M10" s="14"/>
      <c r="N10" s="14"/>
      <c r="O10" s="14"/>
      <c r="P10" s="14"/>
      <c r="Q10" s="14"/>
      <c r="R10" s="14"/>
      <c r="S10" s="14"/>
      <c r="T10" s="14"/>
      <c r="U10" s="14"/>
    </row>
    <row r="11" spans="1:22" ht="12.75">
      <c r="A11" s="13" t="s">
        <v>1072</v>
      </c>
      <c r="B11" s="1046">
        <v>457959</v>
      </c>
      <c r="C11" s="51"/>
      <c r="D11" s="14">
        <f>B11*5*0.75</f>
        <v>1717346.25</v>
      </c>
      <c r="E11" s="14">
        <v>7.16</v>
      </c>
      <c r="F11" s="14">
        <v>4.18</v>
      </c>
      <c r="G11" s="14"/>
      <c r="H11" s="14"/>
      <c r="I11" s="14"/>
      <c r="J11" s="14"/>
      <c r="K11" s="14"/>
      <c r="L11" s="43">
        <f>Grain!I10</f>
        <v>8383.199999999999</v>
      </c>
      <c r="M11" s="43">
        <v>2460</v>
      </c>
      <c r="N11" s="43">
        <v>2220</v>
      </c>
      <c r="O11" s="42">
        <v>1980</v>
      </c>
      <c r="P11" s="42">
        <v>1980</v>
      </c>
      <c r="Q11" s="43">
        <v>1920</v>
      </c>
      <c r="R11" s="43">
        <f>OilsY!G7*(48/60)</f>
        <v>2005.4400000000003</v>
      </c>
      <c r="S11" s="885">
        <f>B11*E11/L11/1000</f>
        <v>0.3911378041797882</v>
      </c>
      <c r="T11" s="885">
        <f>B11*F11/M11/1000</f>
        <v>0.778157975609756</v>
      </c>
      <c r="U11" s="32">
        <f>S11+T11</f>
        <v>1.1692957797895442</v>
      </c>
      <c r="V11" s="13" t="s">
        <v>1126</v>
      </c>
    </row>
    <row r="12" spans="1:22" ht="12.75">
      <c r="A12" s="13" t="s">
        <v>1062</v>
      </c>
      <c r="B12" s="14">
        <f>D12/(5*0.75)</f>
        <v>371685623.9443725</v>
      </c>
      <c r="C12" s="51"/>
      <c r="D12" s="14">
        <f>D13-D11-D8-D5</f>
        <v>1393821089.7913969</v>
      </c>
      <c r="E12" s="14">
        <v>7.16</v>
      </c>
      <c r="F12" s="14">
        <v>4.18</v>
      </c>
      <c r="G12" s="14"/>
      <c r="H12" s="14"/>
      <c r="I12" s="14"/>
      <c r="J12" s="14"/>
      <c r="K12" s="14"/>
      <c r="L12" s="43">
        <f>Grain!I10</f>
        <v>8383.199999999999</v>
      </c>
      <c r="M12" s="43">
        <v>2460</v>
      </c>
      <c r="N12" s="43">
        <v>2220</v>
      </c>
      <c r="O12" s="42">
        <v>1980</v>
      </c>
      <c r="P12" s="42">
        <v>1980</v>
      </c>
      <c r="Q12" s="43">
        <v>1920</v>
      </c>
      <c r="R12" s="43">
        <f>OilsY!G7*(48/60)</f>
        <v>2005.4400000000003</v>
      </c>
      <c r="S12" s="32">
        <f>B12*E12/L12/1000</f>
        <v>317.4526514268665</v>
      </c>
      <c r="T12" s="32">
        <f>B12*F12/M12/1000</f>
        <v>631.563377271332</v>
      </c>
      <c r="U12" s="32">
        <f>S12+T12</f>
        <v>949.0160286981985</v>
      </c>
      <c r="V12" s="13" t="s">
        <v>1127</v>
      </c>
    </row>
    <row r="13" spans="1:21" ht="12.75">
      <c r="A13" s="228" t="s">
        <v>134</v>
      </c>
      <c r="B13" s="367"/>
      <c r="C13" s="367"/>
      <c r="D13" s="367">
        <f>Protein!G17</f>
        <v>1413922119.5958567</v>
      </c>
      <c r="E13" s="367"/>
      <c r="F13" s="367"/>
      <c r="G13" s="367"/>
      <c r="H13" s="367"/>
      <c r="I13" s="367"/>
      <c r="J13" s="367"/>
      <c r="K13" s="367"/>
      <c r="L13" s="367"/>
      <c r="M13" s="367"/>
      <c r="N13" s="367"/>
      <c r="O13" s="367"/>
      <c r="P13" s="367"/>
      <c r="Q13" s="367"/>
      <c r="R13" s="367"/>
      <c r="S13" s="367">
        <f>SUM(S11:S12)</f>
        <v>317.8437892310463</v>
      </c>
      <c r="T13" s="367">
        <f>SUM(T11:T12)</f>
        <v>632.3415352469417</v>
      </c>
      <c r="U13" s="367">
        <f>SUM(U11:U12)</f>
        <v>950.185324477988</v>
      </c>
    </row>
    <row r="14" spans="1:21" ht="12.75">
      <c r="A14" s="19"/>
      <c r="B14" s="32"/>
      <c r="C14" s="32"/>
      <c r="D14" s="32"/>
      <c r="E14" s="32"/>
      <c r="F14" s="32"/>
      <c r="G14" s="32"/>
      <c r="H14" s="32"/>
      <c r="I14" s="32"/>
      <c r="J14" s="32"/>
      <c r="K14" s="32"/>
      <c r="L14" s="32"/>
      <c r="M14" s="32"/>
      <c r="N14" s="32"/>
      <c r="O14" s="32"/>
      <c r="P14" s="32"/>
      <c r="Q14" s="32"/>
      <c r="R14" s="32"/>
      <c r="S14" s="32"/>
      <c r="T14" s="32"/>
      <c r="U14" s="32"/>
    </row>
    <row r="15" spans="2:21" ht="12.75">
      <c r="B15" s="14"/>
      <c r="C15" s="14"/>
      <c r="D15" s="14"/>
      <c r="E15" s="14"/>
      <c r="F15" s="14"/>
      <c r="G15" s="14"/>
      <c r="H15" s="14"/>
      <c r="I15" s="14"/>
      <c r="J15" s="14"/>
      <c r="K15" s="14"/>
      <c r="L15" s="14"/>
      <c r="M15" s="14"/>
      <c r="N15" s="14"/>
      <c r="O15" s="14"/>
      <c r="P15" s="14"/>
      <c r="Q15" s="14"/>
      <c r="R15" s="14"/>
      <c r="S15" s="14"/>
      <c r="T15" s="14"/>
      <c r="U15" s="14"/>
    </row>
    <row r="16" spans="1:21" ht="12.75">
      <c r="A16" s="13" t="s">
        <v>1080</v>
      </c>
      <c r="B16" s="14">
        <v>132163</v>
      </c>
      <c r="C16" s="14"/>
      <c r="D16" s="14">
        <f>B16*14</f>
        <v>1850282</v>
      </c>
      <c r="E16" s="1437">
        <f>Poultry!U86</f>
        <v>58.571615105866876</v>
      </c>
      <c r="F16" s="1437">
        <f>Poultry!V86</f>
        <v>14.642903776466719</v>
      </c>
      <c r="G16" s="1031"/>
      <c r="H16" s="1031"/>
      <c r="I16" s="1031"/>
      <c r="J16" s="1031"/>
      <c r="K16" s="1031"/>
      <c r="L16" s="1438">
        <f>Grain!I10</f>
        <v>8383.199999999999</v>
      </c>
      <c r="M16" s="1032">
        <v>2460</v>
      </c>
      <c r="N16" s="1032">
        <v>2220</v>
      </c>
      <c r="O16" s="1032">
        <v>1980</v>
      </c>
      <c r="P16" s="1032">
        <v>1980</v>
      </c>
      <c r="Q16" s="1032">
        <v>1920</v>
      </c>
      <c r="R16" s="1438">
        <f>OilsY!G7*(48/60)</f>
        <v>2005.4400000000003</v>
      </c>
      <c r="S16" s="49">
        <f>$B$16*E16/L16/1000</f>
        <v>0.9233944516696113</v>
      </c>
      <c r="T16" s="49">
        <f>$B$16*F16/M16/1000</f>
        <v>0.78668702919072</v>
      </c>
      <c r="U16" s="32">
        <f>S16+T16</f>
        <v>1.7100814808603313</v>
      </c>
    </row>
    <row r="17" spans="1:21" ht="12.75">
      <c r="A17" s="13" t="s">
        <v>1081</v>
      </c>
      <c r="B17" s="14">
        <v>34356</v>
      </c>
      <c r="C17" s="14"/>
      <c r="D17" s="14"/>
      <c r="E17" s="1437"/>
      <c r="F17" s="1437"/>
      <c r="G17" s="1031"/>
      <c r="H17" s="1031"/>
      <c r="I17" s="1031"/>
      <c r="J17" s="1031"/>
      <c r="K17" s="1031"/>
      <c r="L17" s="1438"/>
      <c r="M17" s="1031"/>
      <c r="N17" s="1031"/>
      <c r="O17" s="1031"/>
      <c r="P17" s="1031"/>
      <c r="Q17" s="1031"/>
      <c r="R17" s="1438"/>
      <c r="S17" s="14"/>
      <c r="T17" s="14"/>
      <c r="U17" s="14"/>
    </row>
    <row r="18" spans="1:21" ht="12.75">
      <c r="A18" s="13" t="s">
        <v>1088</v>
      </c>
      <c r="B18" s="14">
        <f>D18/14</f>
        <v>17484320.880640544</v>
      </c>
      <c r="C18" s="14"/>
      <c r="D18" s="14">
        <f>Protein!G18-Poultry!D16</f>
        <v>244780492.32896763</v>
      </c>
      <c r="E18" s="14">
        <f>Poultry!U86</f>
        <v>58.571615105866876</v>
      </c>
      <c r="F18" s="14">
        <f>Poultry!V86</f>
        <v>14.642903776466719</v>
      </c>
      <c r="G18" s="14"/>
      <c r="H18" s="14"/>
      <c r="I18" s="14"/>
      <c r="J18" s="14"/>
      <c r="K18" s="14"/>
      <c r="L18" s="43">
        <f>Grain!I10</f>
        <v>8383.199999999999</v>
      </c>
      <c r="M18" s="43">
        <v>2460</v>
      </c>
      <c r="N18" s="43">
        <v>2220</v>
      </c>
      <c r="O18" s="42">
        <v>1980</v>
      </c>
      <c r="P18" s="42">
        <v>1980</v>
      </c>
      <c r="Q18" s="43">
        <v>1920</v>
      </c>
      <c r="R18" s="43">
        <f>OilsY!G7*(48/60)</f>
        <v>2005.4400000000003</v>
      </c>
      <c r="S18" s="14">
        <f>B18*E18/L18/1000</f>
        <v>122.15918897418044</v>
      </c>
      <c r="T18" s="14">
        <f>B18*F18/M18/1000</f>
        <v>104.0736700211737</v>
      </c>
      <c r="U18" s="32">
        <f>S18+T18</f>
        <v>226.23285899535415</v>
      </c>
    </row>
    <row r="19" spans="1:21" ht="12.75">
      <c r="A19" s="228" t="s">
        <v>134</v>
      </c>
      <c r="B19" s="367"/>
      <c r="C19" s="367"/>
      <c r="D19" s="367">
        <f>SUM(D16:D18)</f>
        <v>246630774.32896763</v>
      </c>
      <c r="E19" s="367"/>
      <c r="F19" s="367"/>
      <c r="G19" s="367"/>
      <c r="H19" s="367"/>
      <c r="I19" s="367"/>
      <c r="J19" s="367"/>
      <c r="K19" s="367"/>
      <c r="L19" s="367"/>
      <c r="M19" s="367"/>
      <c r="N19" s="367"/>
      <c r="O19" s="367"/>
      <c r="P19" s="367"/>
      <c r="Q19" s="367"/>
      <c r="R19" s="367"/>
      <c r="S19" s="367">
        <f>SUM(S16:S18)</f>
        <v>123.08258342585005</v>
      </c>
      <c r="T19" s="367">
        <f>SUM(T16:T18)</f>
        <v>104.86035705036441</v>
      </c>
      <c r="U19" s="367">
        <f>SUM(U16:U18)</f>
        <v>227.9429404762145</v>
      </c>
    </row>
    <row r="20" spans="2:21" ht="12.75">
      <c r="B20" s="14"/>
      <c r="C20" s="14"/>
      <c r="D20" s="14"/>
      <c r="E20" s="14"/>
      <c r="F20" s="14"/>
      <c r="G20" s="14"/>
      <c r="H20" s="14"/>
      <c r="I20" s="14"/>
      <c r="J20" s="14"/>
      <c r="K20" s="14"/>
      <c r="L20" s="14"/>
      <c r="M20" s="14"/>
      <c r="N20" s="14"/>
      <c r="O20" s="14"/>
      <c r="P20" s="14"/>
      <c r="Q20" s="14"/>
      <c r="R20" s="14"/>
      <c r="S20" s="14"/>
      <c r="T20" s="14"/>
      <c r="U20" s="14"/>
    </row>
    <row r="21" spans="2:21" ht="12.75">
      <c r="B21" s="14"/>
      <c r="C21" s="14"/>
      <c r="D21" s="14"/>
      <c r="E21" s="14"/>
      <c r="F21" s="14"/>
      <c r="G21" s="14"/>
      <c r="H21" s="14"/>
      <c r="I21" s="14"/>
      <c r="J21" s="14"/>
      <c r="K21" s="14"/>
      <c r="L21" s="14"/>
      <c r="M21" s="14"/>
      <c r="N21" s="14"/>
      <c r="O21" s="14"/>
      <c r="P21" s="14"/>
      <c r="Q21" s="14"/>
      <c r="R21" s="14"/>
      <c r="S21" s="14"/>
      <c r="T21" s="14"/>
      <c r="U21" s="14"/>
    </row>
    <row r="22" spans="2:21" ht="12.75">
      <c r="B22" s="14"/>
      <c r="C22" s="14"/>
      <c r="D22" s="14"/>
      <c r="E22" s="14"/>
      <c r="F22" s="14"/>
      <c r="G22" s="14"/>
      <c r="H22" s="14"/>
      <c r="I22" s="14"/>
      <c r="J22" s="14"/>
      <c r="K22" s="14"/>
      <c r="L22" s="14"/>
      <c r="M22" s="14"/>
      <c r="N22" s="14"/>
      <c r="O22" s="14"/>
      <c r="P22" s="14"/>
      <c r="Q22" s="14"/>
      <c r="R22" s="14"/>
      <c r="S22" s="14"/>
      <c r="T22" s="14"/>
      <c r="U22" s="14"/>
    </row>
    <row r="23" spans="2:21" ht="12.75">
      <c r="B23" s="14"/>
      <c r="C23" s="14"/>
      <c r="D23" s="14"/>
      <c r="E23" s="14"/>
      <c r="F23" s="14"/>
      <c r="G23" s="14"/>
      <c r="H23" s="14"/>
      <c r="I23" s="14"/>
      <c r="J23" s="14"/>
      <c r="K23" s="14"/>
      <c r="L23" s="14"/>
      <c r="M23" s="14"/>
      <c r="N23" s="14"/>
      <c r="O23" s="14"/>
      <c r="P23" s="14"/>
      <c r="Q23" s="14"/>
      <c r="R23" s="14"/>
      <c r="S23" s="14"/>
      <c r="T23" s="14"/>
      <c r="U23" s="14"/>
    </row>
    <row r="24" spans="1:21" ht="12.75">
      <c r="A24" s="13" t="s">
        <v>1090</v>
      </c>
      <c r="B24" s="14"/>
      <c r="C24" s="14"/>
      <c r="D24" s="14"/>
      <c r="E24" s="14"/>
      <c r="F24" s="14"/>
      <c r="G24" s="14"/>
      <c r="H24" s="14"/>
      <c r="I24" s="14"/>
      <c r="J24" s="14"/>
      <c r="K24" s="14"/>
      <c r="L24" s="14"/>
      <c r="M24" s="14"/>
      <c r="N24" s="14"/>
      <c r="O24" s="14"/>
      <c r="P24" s="14"/>
      <c r="Q24" s="14"/>
      <c r="R24" s="14"/>
      <c r="S24" s="14"/>
      <c r="T24" s="14"/>
      <c r="U24" s="14"/>
    </row>
    <row r="25" spans="1:21" ht="12.75">
      <c r="A25" s="13"/>
      <c r="B25" s="14"/>
      <c r="C25" s="14"/>
      <c r="D25" s="14"/>
      <c r="E25" s="14"/>
      <c r="F25" s="14"/>
      <c r="G25" s="14"/>
      <c r="H25" s="14"/>
      <c r="I25" s="14"/>
      <c r="J25" s="14"/>
      <c r="K25" s="14"/>
      <c r="L25" s="14"/>
      <c r="M25" s="14"/>
      <c r="N25" s="14"/>
      <c r="O25" s="14"/>
      <c r="P25" s="14"/>
      <c r="Q25" s="14"/>
      <c r="R25" s="14"/>
      <c r="S25" s="14"/>
      <c r="T25" s="14"/>
      <c r="U25" s="14"/>
    </row>
    <row r="26" spans="1:7" ht="12.75">
      <c r="A26" s="1045" t="s">
        <v>396</v>
      </c>
      <c r="B26" s="251"/>
      <c r="C26" s="251"/>
      <c r="D26" s="251"/>
      <c r="E26" s="252" t="s">
        <v>397</v>
      </c>
      <c r="F26" s="251"/>
      <c r="G26" s="251"/>
    </row>
    <row r="27" spans="1:7" ht="12.75">
      <c r="A27" s="44" t="s">
        <v>425</v>
      </c>
      <c r="B27" s="261">
        <f>Protein!B16</f>
        <v>0.47264608539348235</v>
      </c>
      <c r="C27" s="251"/>
      <c r="D27" s="253" t="s">
        <v>398</v>
      </c>
      <c r="E27" s="251">
        <v>274</v>
      </c>
      <c r="F27" s="251"/>
      <c r="G27" s="251"/>
    </row>
    <row r="28" spans="1:7" ht="15">
      <c r="A28" s="44" t="s">
        <v>426</v>
      </c>
      <c r="B28" s="231">
        <f>Protein!F16</f>
        <v>296.09968834052813</v>
      </c>
      <c r="C28" s="251"/>
      <c r="D28" s="251"/>
      <c r="E28" s="251"/>
      <c r="F28" s="251"/>
      <c r="G28" s="251"/>
    </row>
    <row r="29" spans="1:21" ht="12.75">
      <c r="A29" s="44" t="s">
        <v>459</v>
      </c>
      <c r="B29" s="1034">
        <f>B28*14500000</f>
        <v>4293445480.937658</v>
      </c>
      <c r="C29" s="251"/>
      <c r="R29" s="251"/>
      <c r="S29" s="251"/>
      <c r="T29" s="251"/>
      <c r="U29" s="251"/>
    </row>
    <row r="30" spans="1:21" ht="12.75">
      <c r="A30" s="230" t="s">
        <v>399</v>
      </c>
      <c r="B30" s="251">
        <v>274</v>
      </c>
      <c r="C30" s="253" t="s">
        <v>400</v>
      </c>
      <c r="R30" s="251"/>
      <c r="S30" s="251"/>
      <c r="T30" s="251"/>
      <c r="U30" s="251"/>
    </row>
    <row r="31" spans="1:23" ht="15.75" customHeight="1">
      <c r="A31" s="69" t="s">
        <v>401</v>
      </c>
      <c r="B31" s="251">
        <v>0.9</v>
      </c>
      <c r="C31" s="251"/>
      <c r="R31" s="253"/>
      <c r="S31" s="1035" t="s">
        <v>1073</v>
      </c>
      <c r="T31" s="1035" t="s">
        <v>1074</v>
      </c>
      <c r="U31" s="44" t="s">
        <v>1075</v>
      </c>
      <c r="V31" s="44" t="s">
        <v>1076</v>
      </c>
      <c r="W31" s="1035" t="s">
        <v>1077</v>
      </c>
    </row>
    <row r="32" spans="1:24" ht="12" customHeight="1">
      <c r="A32" s="69" t="s">
        <v>404</v>
      </c>
      <c r="B32" s="251">
        <v>0.5</v>
      </c>
      <c r="C32" s="251"/>
      <c r="R32" s="1028" t="s">
        <v>1078</v>
      </c>
      <c r="S32" s="14">
        <v>6756000</v>
      </c>
      <c r="T32" s="233">
        <f>(S32*B34)</f>
        <v>2026800</v>
      </c>
      <c r="U32" s="14">
        <f>T32/(B30*0.9*0.5)</f>
        <v>16437.956204379563</v>
      </c>
      <c r="V32" s="234">
        <f>U32*B34</f>
        <v>4931.386861313868</v>
      </c>
      <c r="W32" s="233">
        <f>U32*B37</f>
        <v>1643.7956204379564</v>
      </c>
      <c r="X32" s="14">
        <f>SUM(S32:W32)</f>
        <v>8805813.13868613</v>
      </c>
    </row>
    <row r="33" spans="1:24" ht="12.75">
      <c r="A33" s="230" t="s">
        <v>351</v>
      </c>
      <c r="B33" s="251">
        <v>0.9</v>
      </c>
      <c r="C33" s="251"/>
      <c r="R33" s="1029" t="s">
        <v>1079</v>
      </c>
      <c r="S33" s="233">
        <f>S32</f>
        <v>6756000</v>
      </c>
      <c r="T33" s="233">
        <f>Poultry!B6</f>
        <v>1456600</v>
      </c>
      <c r="W33" s="233">
        <f>Poultry!B7</f>
        <v>17400</v>
      </c>
      <c r="X33" s="14">
        <f>SUM(S33:W33)</f>
        <v>8230000</v>
      </c>
    </row>
    <row r="34" spans="1:24" ht="12.75">
      <c r="A34" s="1042" t="s">
        <v>353</v>
      </c>
      <c r="B34" s="1043">
        <v>0.3</v>
      </c>
      <c r="R34" s="251"/>
      <c r="S34" s="251"/>
      <c r="T34" s="234">
        <f>T32-T33</f>
        <v>570200</v>
      </c>
      <c r="W34" s="234">
        <f>U32+V32+W32-W33</f>
        <v>5613.138686131388</v>
      </c>
      <c r="X34" s="234">
        <f>X32-X33</f>
        <v>575813.1386861298</v>
      </c>
    </row>
    <row r="35" spans="1:24" ht="12.75">
      <c r="A35" s="1042" t="s">
        <v>405</v>
      </c>
      <c r="B35" s="1044">
        <v>0.7</v>
      </c>
      <c r="C35" s="251"/>
      <c r="R35" s="251"/>
      <c r="S35" s="251"/>
      <c r="U35" s="233">
        <f>T33/(240*0.9*0.5)</f>
        <v>13487.037037037036</v>
      </c>
      <c r="V35" s="58">
        <f>U35*B34</f>
        <v>4046.111111111111</v>
      </c>
      <c r="X35" s="58"/>
    </row>
    <row r="36" spans="1:21" ht="12.75">
      <c r="A36" s="69" t="s">
        <v>406</v>
      </c>
      <c r="B36" s="252" t="s">
        <v>407</v>
      </c>
      <c r="C36" s="253" t="s">
        <v>408</v>
      </c>
      <c r="R36" s="251"/>
      <c r="S36" s="251"/>
      <c r="T36" s="251"/>
      <c r="U36" s="251"/>
    </row>
    <row r="37" spans="1:21" ht="12.75">
      <c r="A37" s="69" t="s">
        <v>356</v>
      </c>
      <c r="B37" s="251">
        <f>1/10</f>
        <v>0.1</v>
      </c>
      <c r="C37" s="253" t="s">
        <v>408</v>
      </c>
      <c r="R37" s="251"/>
      <c r="S37" s="251"/>
      <c r="T37" s="251"/>
      <c r="U37" s="251"/>
    </row>
    <row r="38" spans="1:21" ht="12.75">
      <c r="A38" s="69" t="s">
        <v>357</v>
      </c>
      <c r="B38" s="251"/>
      <c r="C38" s="251"/>
      <c r="R38" s="251"/>
      <c r="S38" s="251"/>
      <c r="T38" s="251"/>
      <c r="U38" s="251"/>
    </row>
    <row r="39" spans="1:22" ht="12.75">
      <c r="A39" s="1042" t="s">
        <v>358</v>
      </c>
      <c r="B39" s="251">
        <v>0.3</v>
      </c>
      <c r="C39" s="251"/>
      <c r="R39" s="251"/>
      <c r="S39" s="30"/>
      <c r="T39" s="254" t="s">
        <v>345</v>
      </c>
      <c r="U39" s="251" t="s">
        <v>409</v>
      </c>
      <c r="V39" s="28" t="s">
        <v>410</v>
      </c>
    </row>
    <row r="40" spans="1:23" ht="12.75">
      <c r="A40" s="1042" t="s">
        <v>411</v>
      </c>
      <c r="B40" s="251">
        <v>0.7</v>
      </c>
      <c r="C40" s="251"/>
      <c r="R40" s="30"/>
      <c r="S40" s="30" t="s">
        <v>189</v>
      </c>
      <c r="T40" s="255">
        <v>5</v>
      </c>
      <c r="U40" s="256">
        <f>T40/0.75</f>
        <v>6.666666666666667</v>
      </c>
      <c r="V40">
        <v>3</v>
      </c>
      <c r="W40">
        <f>U40*V40</f>
        <v>20</v>
      </c>
    </row>
    <row r="41" spans="1:20" ht="12.75">
      <c r="A41" s="33"/>
      <c r="R41" s="30"/>
      <c r="S41" s="69" t="s">
        <v>412</v>
      </c>
      <c r="T41" s="255">
        <v>5</v>
      </c>
    </row>
    <row r="42" spans="18:20" ht="25.5">
      <c r="R42" s="69"/>
      <c r="S42" s="30" t="s">
        <v>413</v>
      </c>
      <c r="T42" s="255">
        <v>5</v>
      </c>
    </row>
    <row r="43" s="30" customFormat="1" ht="12.75">
      <c r="A43" s="299" t="s">
        <v>189</v>
      </c>
    </row>
    <row r="44" spans="1:2" s="30" customFormat="1" ht="12.75">
      <c r="A44" s="44" t="s">
        <v>427</v>
      </c>
      <c r="B44" s="258">
        <f>Protein!B17</f>
        <v>2.100394374082968</v>
      </c>
    </row>
    <row r="45" spans="1:2" s="30" customFormat="1" ht="15">
      <c r="A45" s="44" t="s">
        <v>428</v>
      </c>
      <c r="B45" s="248">
        <f>Protein!F17</f>
        <v>97.51187031695564</v>
      </c>
    </row>
    <row r="46" spans="1:2" s="30" customFormat="1" ht="12.75">
      <c r="A46" s="69" t="s">
        <v>366</v>
      </c>
      <c r="B46" s="249">
        <f>B45*14500000</f>
        <v>1413922119.5958567</v>
      </c>
    </row>
    <row r="47" spans="1:3" s="30" customFormat="1" ht="12.75">
      <c r="A47" s="230" t="s">
        <v>399</v>
      </c>
      <c r="B47" s="257">
        <v>155</v>
      </c>
      <c r="C47" s="69"/>
    </row>
    <row r="48" spans="1:3" s="30" customFormat="1" ht="12.75">
      <c r="A48" s="69" t="s">
        <v>401</v>
      </c>
      <c r="B48" s="258">
        <v>0.9</v>
      </c>
      <c r="C48" s="69" t="s">
        <v>414</v>
      </c>
    </row>
    <row r="49" spans="1:21" s="30" customFormat="1" ht="15">
      <c r="A49" s="230" t="s">
        <v>351</v>
      </c>
      <c r="B49" s="30">
        <v>0.97</v>
      </c>
      <c r="R49" s="262" t="s">
        <v>415</v>
      </c>
      <c r="S49" s="69" t="s">
        <v>416</v>
      </c>
      <c r="T49" s="69" t="s">
        <v>417</v>
      </c>
      <c r="U49" s="262" t="s">
        <v>418</v>
      </c>
    </row>
    <row r="50" spans="1:21" s="30" customFormat="1" ht="12.75">
      <c r="A50" s="237" t="s">
        <v>353</v>
      </c>
      <c r="B50" s="255">
        <v>0.4</v>
      </c>
      <c r="R50" s="259">
        <f>B46</f>
        <v>1413922119.5958567</v>
      </c>
      <c r="S50" s="232">
        <f>(T41*S32*B34*B35)</f>
        <v>7093800</v>
      </c>
      <c r="T50" s="259">
        <f>W32*B39*B40*T42</f>
        <v>1725.985401459854</v>
      </c>
      <c r="U50" s="260">
        <f>R50-S50-T50</f>
        <v>1406826593.6104553</v>
      </c>
    </row>
    <row r="51" spans="1:2" s="30" customFormat="1" ht="12.75">
      <c r="A51" s="237" t="s">
        <v>405</v>
      </c>
      <c r="B51" s="30">
        <v>0.5</v>
      </c>
    </row>
    <row r="52" spans="1:2" s="30" customFormat="1" ht="12.75">
      <c r="A52" s="69" t="s">
        <v>406</v>
      </c>
      <c r="B52" s="254" t="s">
        <v>419</v>
      </c>
    </row>
    <row r="53" spans="1:21" s="30" customFormat="1" ht="15">
      <c r="A53" s="69" t="s">
        <v>356</v>
      </c>
      <c r="B53" s="30">
        <f>1/10</f>
        <v>0.1</v>
      </c>
      <c r="C53" s="69" t="s">
        <v>414</v>
      </c>
      <c r="R53" s="262" t="s">
        <v>420</v>
      </c>
      <c r="S53" s="69" t="s">
        <v>402</v>
      </c>
      <c r="T53" s="69" t="s">
        <v>403</v>
      </c>
      <c r="U53" s="69" t="s">
        <v>421</v>
      </c>
    </row>
    <row r="54" spans="1:22" s="30" customFormat="1" ht="12.75">
      <c r="A54" s="69" t="s">
        <v>357</v>
      </c>
      <c r="R54" s="232">
        <v>1644273178.337522</v>
      </c>
      <c r="S54" s="259">
        <f>R54/((T40*B47*B48*B49)+(T41*B50*B51)+(T42*B53*B55*B56)-(T41*B50)-(T42*B53*B55))</f>
        <v>2434184.2112792106</v>
      </c>
      <c r="T54" s="259">
        <f>S54*B53</f>
        <v>243418.4211279211</v>
      </c>
      <c r="U54" s="259">
        <f>S54*B47*B48*B49</f>
        <v>329381636.5492464</v>
      </c>
      <c r="V54" s="259"/>
    </row>
    <row r="55" spans="1:22" s="30" customFormat="1" ht="12.75">
      <c r="A55" s="237" t="s">
        <v>358</v>
      </c>
      <c r="B55" s="255">
        <v>0.33</v>
      </c>
      <c r="S55" s="232"/>
      <c r="U55" s="30" t="s">
        <v>372</v>
      </c>
      <c r="V55" s="30" t="s">
        <v>360</v>
      </c>
    </row>
    <row r="56" spans="1:23" s="30" customFormat="1" ht="12.75">
      <c r="A56" s="237" t="s">
        <v>411</v>
      </c>
      <c r="B56" s="30">
        <v>0.5</v>
      </c>
      <c r="U56" s="232">
        <f>(S54*B50)+(T54*B55)</f>
        <v>1054001.7634838982</v>
      </c>
      <c r="V56" s="259">
        <f>(S54*B47*B48*B49)-(S54*B50)-(T54*B55)</f>
        <v>328327634.7857625</v>
      </c>
      <c r="W56" s="232"/>
    </row>
    <row r="58" spans="19:21" ht="12.75">
      <c r="S58" t="s">
        <v>422</v>
      </c>
      <c r="T58" t="s">
        <v>423</v>
      </c>
      <c r="U58" t="s">
        <v>424</v>
      </c>
    </row>
    <row r="59" spans="18:21" ht="12.75">
      <c r="R59" s="234">
        <f>S59+T59+U59</f>
        <v>1644273178.3375223</v>
      </c>
      <c r="S59" s="234">
        <f>S54*B50*B51*T41</f>
        <v>2434184.2112792106</v>
      </c>
      <c r="T59" s="234">
        <f>T54*B55*B56*T42</f>
        <v>200820.1974305349</v>
      </c>
      <c r="U59" s="234">
        <f>V56*T40</f>
        <v>1641638173.9288125</v>
      </c>
    </row>
    <row r="64" ht="12.75">
      <c r="M64" s="13" t="s">
        <v>1082</v>
      </c>
    </row>
    <row r="65" spans="1:13" ht="12.75">
      <c r="A65" s="8" t="s">
        <v>931</v>
      </c>
      <c r="M65" s="13" t="s">
        <v>1082</v>
      </c>
    </row>
    <row r="66" spans="1:28" s="176" customFormat="1" ht="12.75">
      <c r="A66" s="41" t="s">
        <v>427</v>
      </c>
      <c r="B66" s="243">
        <f>Protein!B18</f>
        <v>0.3696149851240257</v>
      </c>
      <c r="R66" s="176" t="s">
        <v>429</v>
      </c>
      <c r="S66" s="244">
        <f>U66*0.7</f>
        <v>12.6</v>
      </c>
      <c r="T66" s="176" t="s">
        <v>430</v>
      </c>
      <c r="U66" s="176">
        <v>18</v>
      </c>
      <c r="V66" s="176">
        <v>4</v>
      </c>
      <c r="W66" s="176">
        <f>V66*U66</f>
        <v>72</v>
      </c>
      <c r="AA66" s="267" t="s">
        <v>431</v>
      </c>
      <c r="AB66" s="176">
        <v>1.9</v>
      </c>
    </row>
    <row r="67" spans="1:28" s="176" customFormat="1" ht="12.75">
      <c r="A67" s="41" t="s">
        <v>428</v>
      </c>
      <c r="B67" s="272">
        <f>Protein!F18</f>
        <v>17.009018919239146</v>
      </c>
      <c r="R67" s="176" t="s">
        <v>432</v>
      </c>
      <c r="S67" s="244">
        <f>U67*0.7</f>
        <v>15.399999999999999</v>
      </c>
      <c r="T67" s="176">
        <f>AVERAGE(S66:S67)</f>
        <v>14</v>
      </c>
      <c r="U67" s="176">
        <v>22</v>
      </c>
      <c r="V67" s="176">
        <v>4</v>
      </c>
      <c r="W67" s="176">
        <f>V67*U67</f>
        <v>88</v>
      </c>
      <c r="AA67" s="267" t="s">
        <v>433</v>
      </c>
      <c r="AB67" s="176">
        <v>2.84</v>
      </c>
    </row>
    <row r="68" spans="1:28" s="176" customFormat="1" ht="12.75">
      <c r="A68" s="176" t="s">
        <v>366</v>
      </c>
      <c r="B68" s="264">
        <f>B67*17000000</f>
        <v>289153321.6270655</v>
      </c>
      <c r="R68" s="176" t="s">
        <v>434</v>
      </c>
      <c r="S68" s="244">
        <f>U68*0.7</f>
        <v>12.6</v>
      </c>
      <c r="U68" s="176">
        <v>18</v>
      </c>
      <c r="AA68" s="267" t="s">
        <v>435</v>
      </c>
      <c r="AB68" s="176">
        <v>3.54</v>
      </c>
    </row>
    <row r="69" spans="1:28" s="176" customFormat="1" ht="12.75">
      <c r="A69" s="238" t="s">
        <v>399</v>
      </c>
      <c r="B69" s="176">
        <v>80</v>
      </c>
      <c r="R69" s="176" t="s">
        <v>436</v>
      </c>
      <c r="S69" s="244">
        <f>U69*0.7</f>
        <v>15.399999999999999</v>
      </c>
      <c r="U69" s="176">
        <v>22</v>
      </c>
      <c r="AA69" s="267" t="s">
        <v>437</v>
      </c>
      <c r="AB69" s="176">
        <v>4.32</v>
      </c>
    </row>
    <row r="70" spans="1:28" s="176" customFormat="1" ht="12.75">
      <c r="A70" s="176" t="s">
        <v>401</v>
      </c>
      <c r="B70" s="176">
        <v>0.75</v>
      </c>
      <c r="AA70" s="267" t="s">
        <v>438</v>
      </c>
      <c r="AB70" s="176">
        <v>5.48</v>
      </c>
    </row>
    <row r="71" spans="1:28" s="176" customFormat="1" ht="15">
      <c r="A71" s="238" t="s">
        <v>351</v>
      </c>
      <c r="B71" s="176">
        <v>0.15</v>
      </c>
      <c r="R71" s="268" t="s">
        <v>439</v>
      </c>
      <c r="S71" s="265" t="s">
        <v>402</v>
      </c>
      <c r="T71" s="265" t="s">
        <v>440</v>
      </c>
      <c r="U71" s="265" t="s">
        <v>441</v>
      </c>
      <c r="V71" s="265"/>
      <c r="AA71" s="267" t="s">
        <v>442</v>
      </c>
      <c r="AB71" s="176">
        <v>5.68</v>
      </c>
    </row>
    <row r="72" spans="1:28" s="176" customFormat="1" ht="12.75">
      <c r="A72" s="265" t="s">
        <v>353</v>
      </c>
      <c r="B72" s="243">
        <f>1/5.5</f>
        <v>0.18181818181818182</v>
      </c>
      <c r="R72" s="269">
        <f>B68</f>
        <v>289153321.6270655</v>
      </c>
      <c r="S72" s="270">
        <f>R72/((T67*B69*B70*B71)+(S68*B72*B73)+(S69*B75*B77*B78)-(S66*B72)-(S67*B75*B77))</f>
        <v>2313355.230205797</v>
      </c>
      <c r="T72" s="269">
        <f>S72*B75</f>
        <v>136079.7194238704</v>
      </c>
      <c r="U72" s="269">
        <f>S72*B69*B70*B71</f>
        <v>20820197.071852174</v>
      </c>
      <c r="V72" s="265"/>
      <c r="AA72" s="267" t="s">
        <v>443</v>
      </c>
      <c r="AB72" s="176">
        <v>6.65</v>
      </c>
    </row>
    <row r="73" spans="1:28" s="176" customFormat="1" ht="12.75">
      <c r="A73" s="244" t="s">
        <v>405</v>
      </c>
      <c r="B73" s="244">
        <v>0.6</v>
      </c>
      <c r="R73" s="265"/>
      <c r="S73" s="270"/>
      <c r="T73" s="265"/>
      <c r="U73" s="270" t="s">
        <v>360</v>
      </c>
      <c r="V73" s="265" t="s">
        <v>372</v>
      </c>
      <c r="AA73" s="267" t="s">
        <v>444</v>
      </c>
      <c r="AB73" s="176">
        <v>6.92</v>
      </c>
    </row>
    <row r="74" spans="1:28" s="176" customFormat="1" ht="12.75">
      <c r="A74" s="176" t="s">
        <v>406</v>
      </c>
      <c r="B74" s="243">
        <f>7/12</f>
        <v>0.5833333333333334</v>
      </c>
      <c r="R74" s="265"/>
      <c r="S74" s="265"/>
      <c r="T74" s="265"/>
      <c r="U74" s="269">
        <f>S72*B69*B70*B71-(S72*B72)-(T72*B77)</f>
        <v>20365567.100140605</v>
      </c>
      <c r="V74" s="269">
        <f>S72*B72+T72*B77</f>
        <v>454629.9717115671</v>
      </c>
      <c r="W74" s="271"/>
      <c r="AA74" s="267" t="s">
        <v>445</v>
      </c>
      <c r="AB74" s="176">
        <v>7.93</v>
      </c>
    </row>
    <row r="75" spans="1:28" s="176" customFormat="1" ht="12.75">
      <c r="A75" s="176" t="s">
        <v>356</v>
      </c>
      <c r="B75" s="243">
        <f>1/17</f>
        <v>0.058823529411764705</v>
      </c>
      <c r="R75" s="265"/>
      <c r="S75" s="265"/>
      <c r="T75" s="265"/>
      <c r="U75" s="265"/>
      <c r="V75" s="265"/>
      <c r="AA75" s="267" t="s">
        <v>446</v>
      </c>
      <c r="AB75" s="176">
        <v>8.24</v>
      </c>
    </row>
    <row r="76" spans="1:28" s="176" customFormat="1" ht="12.75">
      <c r="A76" s="176" t="s">
        <v>357</v>
      </c>
      <c r="B76" s="176" t="s">
        <v>159</v>
      </c>
      <c r="R76" s="265"/>
      <c r="S76" s="265" t="s">
        <v>447</v>
      </c>
      <c r="T76" s="265" t="s">
        <v>448</v>
      </c>
      <c r="U76" s="265" t="s">
        <v>449</v>
      </c>
      <c r="V76" s="265"/>
      <c r="AA76" s="267" t="s">
        <v>450</v>
      </c>
      <c r="AB76" s="176">
        <v>8.37</v>
      </c>
    </row>
    <row r="77" spans="1:28" s="176" customFormat="1" ht="12.75">
      <c r="A77" s="244" t="s">
        <v>358</v>
      </c>
      <c r="B77" s="176">
        <f>1/4</f>
        <v>0.25</v>
      </c>
      <c r="R77" s="265"/>
      <c r="S77" s="270">
        <f>S72*B72*B73</f>
        <v>252366.02511335968</v>
      </c>
      <c r="T77" s="270">
        <f>T72*B77*B78</f>
        <v>20411.95791358056</v>
      </c>
      <c r="U77" s="269">
        <f>U74</f>
        <v>20365567.100140605</v>
      </c>
      <c r="V77" s="265"/>
      <c r="AA77" s="267" t="s">
        <v>451</v>
      </c>
      <c r="AB77" s="176">
        <v>8.71</v>
      </c>
    </row>
    <row r="78" spans="1:28" s="176" customFormat="1" ht="12.75">
      <c r="A78" s="244" t="s">
        <v>452</v>
      </c>
      <c r="B78" s="176">
        <v>0.6</v>
      </c>
      <c r="R78" s="265"/>
      <c r="S78" s="265"/>
      <c r="T78" s="265"/>
      <c r="U78" s="265"/>
      <c r="V78" s="265"/>
      <c r="AA78" s="176">
        <v>30</v>
      </c>
      <c r="AB78" s="176">
        <v>8.71</v>
      </c>
    </row>
    <row r="79" spans="18:28" s="176" customFormat="1" ht="12.75">
      <c r="R79" s="269">
        <f>S79+T79+U79</f>
        <v>289153321.6270654</v>
      </c>
      <c r="S79" s="270">
        <f>S77*S68</f>
        <v>3179811.9164283318</v>
      </c>
      <c r="T79" s="270">
        <f>T77*S69</f>
        <v>314344.1518691406</v>
      </c>
      <c r="U79" s="270">
        <f>(S72*B69*B70*B71*T67)-(S66*S72*B72)-(T72*S67*B77)</f>
        <v>285659165.558768</v>
      </c>
      <c r="V79" s="265"/>
      <c r="AA79" s="176">
        <v>32</v>
      </c>
      <c r="AB79" s="176">
        <v>8.71</v>
      </c>
    </row>
    <row r="80" spans="1:28" s="263" customFormat="1" ht="12.75">
      <c r="A80" s="176"/>
      <c r="R80" s="266"/>
      <c r="S80" s="236"/>
      <c r="T80" s="236"/>
      <c r="U80" s="236"/>
      <c r="V80" s="236"/>
      <c r="AA80" s="263">
        <v>34</v>
      </c>
      <c r="AB80" s="176">
        <v>8.71</v>
      </c>
    </row>
    <row r="81" spans="27:28" ht="12.75">
      <c r="AA81">
        <v>36</v>
      </c>
      <c r="AB81" s="176">
        <v>8.71</v>
      </c>
    </row>
    <row r="82" spans="18:28" ht="12.75">
      <c r="R82" s="176"/>
      <c r="S82" s="329" t="s">
        <v>1087</v>
      </c>
      <c r="T82" s="1030" t="s">
        <v>1086</v>
      </c>
      <c r="U82" s="1030" t="s">
        <v>1083</v>
      </c>
      <c r="V82" s="1030" t="s">
        <v>1084</v>
      </c>
      <c r="AA82">
        <v>38</v>
      </c>
      <c r="AB82" s="176">
        <v>8.71</v>
      </c>
    </row>
    <row r="83" spans="18:28" ht="12.75">
      <c r="R83" s="13" t="s">
        <v>1085</v>
      </c>
      <c r="S83" s="234">
        <f>S72+T72</f>
        <v>2449434.9496296677</v>
      </c>
      <c r="U83" s="28">
        <f>N90*0.8</f>
        <v>13.936000000000002</v>
      </c>
      <c r="V83" s="28">
        <f>N90*0.2</f>
        <v>3.4840000000000004</v>
      </c>
      <c r="AA83">
        <v>40</v>
      </c>
      <c r="AB83" s="176">
        <v>8.71</v>
      </c>
    </row>
    <row r="84" spans="18:28" ht="12.75">
      <c r="R84" s="13" t="s">
        <v>441</v>
      </c>
      <c r="S84" s="234">
        <f>U72</f>
        <v>20820197.071852174</v>
      </c>
      <c r="U84" s="28">
        <f>SUM(AB66:AB77)*0.8</f>
        <v>56.46400000000001</v>
      </c>
      <c r="V84" s="28">
        <f>SUM(AB66:AB77)*0.2</f>
        <v>14.116000000000003</v>
      </c>
      <c r="AA84">
        <v>42</v>
      </c>
      <c r="AB84" s="176">
        <v>8.71</v>
      </c>
    </row>
    <row r="85" spans="18:28" ht="12.75">
      <c r="R85" s="13" t="s">
        <v>965</v>
      </c>
      <c r="S85" s="234">
        <f>T85/14</f>
        <v>20653808.68764753</v>
      </c>
      <c r="T85" s="234">
        <f>R79</f>
        <v>289153321.6270654</v>
      </c>
      <c r="U85" s="234">
        <f>S83*U83+S84*U84</f>
        <v>1209726932.9231005</v>
      </c>
      <c r="V85" s="234">
        <f>S83*V83+S84*V84</f>
        <v>302431733.2307751</v>
      </c>
      <c r="AA85">
        <v>44</v>
      </c>
      <c r="AB85" s="176">
        <v>8.71</v>
      </c>
    </row>
    <row r="86" spans="18:28" ht="12.75">
      <c r="R86" s="13" t="s">
        <v>1055</v>
      </c>
      <c r="U86" s="28">
        <f>U85/S85</f>
        <v>58.571615105866876</v>
      </c>
      <c r="V86" s="28">
        <f>V85/S85</f>
        <v>14.642903776466719</v>
      </c>
      <c r="AA86">
        <v>46</v>
      </c>
      <c r="AB86" s="176">
        <v>8.71</v>
      </c>
    </row>
    <row r="87" spans="27:28" ht="12.75">
      <c r="AA87">
        <v>48</v>
      </c>
      <c r="AB87" s="176">
        <v>8.71</v>
      </c>
    </row>
    <row r="88" spans="13:14" ht="12.75">
      <c r="M88">
        <v>50</v>
      </c>
      <c r="N88" s="176">
        <v>8.71</v>
      </c>
    </row>
    <row r="89" spans="13:14" ht="12.75">
      <c r="M89">
        <v>52</v>
      </c>
      <c r="N89" s="176">
        <v>8.71</v>
      </c>
    </row>
    <row r="90" ht="12.75">
      <c r="N90">
        <f>SUM(N66:N89)</f>
        <v>17.42</v>
      </c>
    </row>
  </sheetData>
  <sheetProtection/>
  <mergeCells count="14">
    <mergeCell ref="E16:E17"/>
    <mergeCell ref="F16:F17"/>
    <mergeCell ref="L16:L17"/>
    <mergeCell ref="R16:R17"/>
    <mergeCell ref="C2:D3"/>
    <mergeCell ref="E4:F4"/>
    <mergeCell ref="L4:R4"/>
    <mergeCell ref="S4:U4"/>
    <mergeCell ref="B2:B3"/>
    <mergeCell ref="E2:F2"/>
    <mergeCell ref="G2:R2"/>
    <mergeCell ref="S2:U2"/>
    <mergeCell ref="G3:L3"/>
    <mergeCell ref="M3:R3"/>
  </mergeCells>
  <printOptions/>
  <pageMargins left="0.7" right="0.7" top="0.75" bottom="0.75" header="0.3" footer="0.3"/>
  <pageSetup orientation="portrait"/>
  <legacyDrawing r:id="rId2"/>
</worksheet>
</file>

<file path=xl/worksheets/sheet24.xml><?xml version="1.0" encoding="utf-8"?>
<worksheet xmlns="http://schemas.openxmlformats.org/spreadsheetml/2006/main" xmlns:r="http://schemas.openxmlformats.org/officeDocument/2006/relationships">
  <dimension ref="A1:U6"/>
  <sheetViews>
    <sheetView zoomScalePageLayoutView="0" workbookViewId="0" topLeftCell="A1">
      <selection activeCell="P14" sqref="P14"/>
    </sheetView>
  </sheetViews>
  <sheetFormatPr defaultColWidth="8.8515625" defaultRowHeight="12.75"/>
  <cols>
    <col min="1" max="1" width="8.8515625" style="0" customWidth="1"/>
    <col min="2" max="2" width="10.28125" style="0" customWidth="1"/>
    <col min="3" max="4" width="8.8515625" style="0" customWidth="1"/>
    <col min="5" max="5" width="10.7109375" style="0" customWidth="1"/>
    <col min="6" max="15" width="0" style="0" hidden="1" customWidth="1"/>
    <col min="16" max="17" width="8.8515625" style="0" customWidth="1"/>
    <col min="18" max="18" width="10.28125" style="0" bestFit="1" customWidth="1"/>
  </cols>
  <sheetData>
    <row r="1" ht="15">
      <c r="A1" s="1052" t="s">
        <v>650</v>
      </c>
    </row>
    <row r="2" spans="2:21" ht="12.75" customHeight="1">
      <c r="B2" s="1439" t="s">
        <v>969</v>
      </c>
      <c r="C2" s="1432" t="s">
        <v>1055</v>
      </c>
      <c r="D2" s="1430"/>
      <c r="E2" s="1431"/>
      <c r="F2" s="1422" t="s">
        <v>190</v>
      </c>
      <c r="G2" s="1422"/>
      <c r="H2" s="1422"/>
      <c r="I2" s="1422"/>
      <c r="J2" s="1422"/>
      <c r="K2" s="1422"/>
      <c r="L2" s="1422"/>
      <c r="M2" s="1422"/>
      <c r="N2" s="1422"/>
      <c r="O2" s="1422"/>
      <c r="P2" s="1422"/>
      <c r="Q2" s="1422"/>
      <c r="R2" s="1422" t="s">
        <v>550</v>
      </c>
      <c r="S2" s="1422"/>
      <c r="T2" s="1422"/>
      <c r="U2" s="1422"/>
    </row>
    <row r="3" spans="2:21" ht="12.75">
      <c r="B3" s="1439"/>
      <c r="C3" s="174" t="s">
        <v>362</v>
      </c>
      <c r="D3" s="174" t="s">
        <v>140</v>
      </c>
      <c r="E3" s="276" t="s">
        <v>701</v>
      </c>
      <c r="F3" s="1427" t="s">
        <v>362</v>
      </c>
      <c r="G3" s="1428"/>
      <c r="H3" s="1428"/>
      <c r="I3" s="1428"/>
      <c r="J3" s="1428"/>
      <c r="K3" s="1343" t="s">
        <v>140</v>
      </c>
      <c r="L3" s="1423"/>
      <c r="M3" s="1423"/>
      <c r="N3" s="1423"/>
      <c r="O3" s="1423"/>
      <c r="P3" s="1344"/>
      <c r="Q3" s="1027" t="s">
        <v>701</v>
      </c>
      <c r="R3" s="375" t="s">
        <v>362</v>
      </c>
      <c r="S3" s="463" t="s">
        <v>140</v>
      </c>
      <c r="T3" s="375" t="s">
        <v>701</v>
      </c>
      <c r="U3" s="755" t="s">
        <v>134</v>
      </c>
    </row>
    <row r="4" spans="2:21" ht="12.75">
      <c r="B4" s="1055" t="s">
        <v>125</v>
      </c>
      <c r="C4" s="276" t="s">
        <v>457</v>
      </c>
      <c r="D4" s="1404" t="s">
        <v>33</v>
      </c>
      <c r="E4" s="1406"/>
      <c r="F4" s="1404" t="s">
        <v>170</v>
      </c>
      <c r="G4" s="1405"/>
      <c r="H4" s="1405"/>
      <c r="I4" s="1405"/>
      <c r="J4" s="1406"/>
      <c r="K4" s="872"/>
      <c r="L4" s="872"/>
      <c r="M4" s="872"/>
      <c r="N4" s="872"/>
      <c r="O4" s="872"/>
      <c r="P4" s="1415" t="s">
        <v>170</v>
      </c>
      <c r="Q4" s="1416"/>
      <c r="R4" s="1409" t="s">
        <v>457</v>
      </c>
      <c r="S4" s="1352"/>
      <c r="T4" s="1352"/>
      <c r="U4" s="748" t="s">
        <v>942</v>
      </c>
    </row>
    <row r="5" spans="1:21" ht="15">
      <c r="A5" s="13" t="s">
        <v>650</v>
      </c>
      <c r="B5" s="367">
        <v>70918</v>
      </c>
      <c r="C5">
        <v>1.1</v>
      </c>
      <c r="D5" s="1037">
        <f>(4*1.2)*365/2</f>
        <v>876</v>
      </c>
      <c r="E5" s="1037">
        <f>(4*1.2)*365/2</f>
        <v>876</v>
      </c>
      <c r="P5" s="15">
        <f>Grain!I10</f>
        <v>8383.199999999999</v>
      </c>
      <c r="Q5" s="407">
        <f>GrainY!I8</f>
        <v>2010.8799999999999</v>
      </c>
      <c r="R5" s="234">
        <f>B5*C5/1000</f>
        <v>78.0098</v>
      </c>
      <c r="S5" s="14">
        <f>(B5*D5/P5)/1000</f>
        <v>7.410555396507301</v>
      </c>
      <c r="T5" s="14">
        <f>(B5*E5/Q5)/1000</f>
        <v>30.89402052832591</v>
      </c>
      <c r="U5" s="14">
        <f>SUM(R5:T5)</f>
        <v>116.31437592483321</v>
      </c>
    </row>
    <row r="6" spans="5:15" ht="12.75">
      <c r="E6" s="857"/>
      <c r="F6">
        <f>2000*1.97</f>
        <v>3940</v>
      </c>
      <c r="G6">
        <f>2000*1.81</f>
        <v>3620</v>
      </c>
      <c r="H6">
        <f>2000*1.75</f>
        <v>3500</v>
      </c>
      <c r="I6">
        <f>2000*1.67</f>
        <v>3340</v>
      </c>
      <c r="J6">
        <f>2000*1.9</f>
        <v>3800</v>
      </c>
      <c r="K6" s="15">
        <v>6384</v>
      </c>
      <c r="L6" s="15">
        <v>5656</v>
      </c>
      <c r="M6" s="42">
        <v>5488</v>
      </c>
      <c r="N6" s="42">
        <v>5880</v>
      </c>
      <c r="O6" s="15">
        <v>5432</v>
      </c>
    </row>
  </sheetData>
  <sheetProtection/>
  <mergeCells count="10">
    <mergeCell ref="B2:B3"/>
    <mergeCell ref="F4:J4"/>
    <mergeCell ref="P4:Q4"/>
    <mergeCell ref="R4:T4"/>
    <mergeCell ref="D4:E4"/>
    <mergeCell ref="C2:E2"/>
    <mergeCell ref="F2:Q2"/>
    <mergeCell ref="R2:U2"/>
    <mergeCell ref="F3:J3"/>
    <mergeCell ref="K3:P3"/>
  </mergeCells>
  <printOptions/>
  <pageMargins left="0.7" right="0.7" top="0.75" bottom="0.75" header="0.3" footer="0.3"/>
  <pageSetup orientation="portrait" paperSize="9"/>
  <legacyDrawing r:id="rId2"/>
</worksheet>
</file>

<file path=xl/worksheets/sheet25.xml><?xml version="1.0" encoding="utf-8"?>
<worksheet xmlns="http://schemas.openxmlformats.org/spreadsheetml/2006/main" xmlns:r="http://schemas.openxmlformats.org/officeDocument/2006/relationships">
  <dimension ref="A1:L26"/>
  <sheetViews>
    <sheetView zoomScalePageLayoutView="0" workbookViewId="0" topLeftCell="A1">
      <selection activeCell="L26" sqref="L26"/>
    </sheetView>
  </sheetViews>
  <sheetFormatPr defaultColWidth="8.8515625" defaultRowHeight="12.75"/>
  <cols>
    <col min="1" max="1" width="26.28125" style="0" customWidth="1"/>
    <col min="2" max="2" width="8.8515625" style="0" customWidth="1"/>
    <col min="3" max="3" width="13.140625" style="0" customWidth="1"/>
    <col min="4" max="4" width="10.421875" style="0" customWidth="1"/>
    <col min="5" max="5" width="13.140625" style="0" customWidth="1"/>
    <col min="6" max="6" width="8.8515625" style="0" customWidth="1"/>
    <col min="7" max="7" width="9.28125" style="0" customWidth="1"/>
    <col min="8" max="8" width="10.28125" style="0" bestFit="1" customWidth="1"/>
    <col min="9" max="9" width="12.140625" style="0" customWidth="1"/>
    <col min="10" max="10" width="13.00390625" style="0" customWidth="1"/>
    <col min="11" max="11" width="10.28125" style="0" bestFit="1" customWidth="1"/>
    <col min="12" max="12" width="9.140625" style="0" bestFit="1" customWidth="1"/>
  </cols>
  <sheetData>
    <row r="1" s="33" customFormat="1" ht="15.75">
      <c r="A1" s="609" t="s">
        <v>470</v>
      </c>
    </row>
    <row r="2" s="33" customFormat="1" ht="12.75">
      <c r="A2" s="46" t="s">
        <v>1319</v>
      </c>
    </row>
    <row r="3" spans="1:2" s="33" customFormat="1" ht="12.75">
      <c r="A3" s="46" t="s">
        <v>180</v>
      </c>
      <c r="B3" s="33">
        <v>14500000</v>
      </c>
    </row>
    <row r="4" ht="12.75">
      <c r="A4" s="13"/>
    </row>
    <row r="5" ht="12.75">
      <c r="A5" s="8" t="s">
        <v>488</v>
      </c>
    </row>
    <row r="6" spans="1:12" s="685" customFormat="1" ht="38.25">
      <c r="A6" s="684"/>
      <c r="B6" s="1345" t="s">
        <v>122</v>
      </c>
      <c r="C6" s="1347"/>
      <c r="D6" s="375" t="s">
        <v>920</v>
      </c>
      <c r="E6" s="1345" t="s">
        <v>921</v>
      </c>
      <c r="F6" s="1347"/>
      <c r="G6" s="371" t="s">
        <v>123</v>
      </c>
      <c r="H6" s="1345" t="s">
        <v>481</v>
      </c>
      <c r="I6" s="1347"/>
      <c r="J6" s="371" t="s">
        <v>190</v>
      </c>
      <c r="K6" s="1353" t="s">
        <v>483</v>
      </c>
      <c r="L6" s="1358"/>
    </row>
    <row r="7" spans="2:12" s="36" customFormat="1" ht="12.75">
      <c r="B7" s="227" t="s">
        <v>306</v>
      </c>
      <c r="C7" s="227" t="s">
        <v>487</v>
      </c>
      <c r="D7" s="683" t="s">
        <v>39</v>
      </c>
      <c r="E7" s="227" t="s">
        <v>487</v>
      </c>
      <c r="F7" s="227" t="s">
        <v>33</v>
      </c>
      <c r="G7" s="336" t="s">
        <v>39</v>
      </c>
      <c r="H7" s="227" t="s">
        <v>484</v>
      </c>
      <c r="I7" s="227" t="s">
        <v>33</v>
      </c>
      <c r="J7" s="277" t="s">
        <v>170</v>
      </c>
      <c r="K7" s="277" t="s">
        <v>191</v>
      </c>
      <c r="L7" s="173" t="s">
        <v>269</v>
      </c>
    </row>
    <row r="8" spans="1:12" ht="12.75">
      <c r="A8" s="559" t="s">
        <v>479</v>
      </c>
      <c r="B8" s="783">
        <f>ProteinCurrent!AD21</f>
        <v>0.08581176641181114</v>
      </c>
      <c r="C8" s="783">
        <f>ProteinCurrent!T21</f>
        <v>0.04290588320590557</v>
      </c>
      <c r="D8" s="768">
        <f>B8/SUM(B8:B12)</f>
        <v>0.5498762588472659</v>
      </c>
      <c r="E8" s="783">
        <f>D8*C14</f>
        <v>0.06718620491307485</v>
      </c>
      <c r="F8" s="784">
        <f>(E8*365)/16</f>
        <v>1.53268529957952</v>
      </c>
      <c r="G8" s="798">
        <f>ProteinCurrent!P21</f>
        <v>0.2588852</v>
      </c>
      <c r="H8" s="769">
        <f>F8/(1-G8)</f>
        <v>2.0680808149824017</v>
      </c>
      <c r="I8" s="534">
        <f>H8*$B$3</f>
        <v>29987171.817244824</v>
      </c>
      <c r="J8" s="770">
        <f>NutsY!J5</f>
        <v>2352.5</v>
      </c>
      <c r="K8" s="771">
        <f>I8/J8</f>
        <v>12746.938073217778</v>
      </c>
      <c r="L8" s="770">
        <f aca="true" t="shared" si="0" ref="L8:L16">K8/1000</f>
        <v>12.746938073217779</v>
      </c>
    </row>
    <row r="9" spans="1:12" ht="12.75">
      <c r="A9" s="560" t="s">
        <v>480</v>
      </c>
      <c r="B9" s="785">
        <f>ProteinCurrent!AD22</f>
        <v>0.033892666659884996</v>
      </c>
      <c r="C9" s="785">
        <f>ProteinCurrent!T22</f>
        <v>0.016946333329942498</v>
      </c>
      <c r="D9" s="772">
        <f>B9/SUM(B8:B12)</f>
        <v>0.2171820197227621</v>
      </c>
      <c r="E9" s="785">
        <f>D9*C14</f>
        <v>0.026536216913816503</v>
      </c>
      <c r="F9" s="786">
        <f>(E9*365)/16</f>
        <v>0.605357448346439</v>
      </c>
      <c r="G9" s="773">
        <f>ProteinCurrent!P22</f>
        <v>0.2307416</v>
      </c>
      <c r="H9" s="774">
        <f>F9/(1-G9)</f>
        <v>0.7869364160943046</v>
      </c>
      <c r="I9" s="534">
        <f>H9*$B$3</f>
        <v>11410578.033367418</v>
      </c>
      <c r="J9" s="534">
        <f>NutsY!J6</f>
        <v>1572</v>
      </c>
      <c r="K9" s="387">
        <f>I9/J9</f>
        <v>7258.637425806245</v>
      </c>
      <c r="L9" s="534">
        <f t="shared" si="0"/>
        <v>7.258637425806245</v>
      </c>
    </row>
    <row r="10" spans="1:12" s="4" customFormat="1" ht="12.75">
      <c r="A10" s="560" t="s">
        <v>482</v>
      </c>
      <c r="B10" s="785">
        <f>ProteinCurrent!AD23</f>
        <v>0.032806575383280315</v>
      </c>
      <c r="C10" s="785">
        <f>ProteinCurrent!T23</f>
        <v>0.016403287691640157</v>
      </c>
      <c r="D10" s="772">
        <f>B10/SUM(B8:B12)</f>
        <v>0.21022241694428076</v>
      </c>
      <c r="E10" s="785">
        <f>D10*C14</f>
        <v>0.02568586323721136</v>
      </c>
      <c r="F10" s="786">
        <f>(E10*365)/16</f>
        <v>0.5859587550988842</v>
      </c>
      <c r="G10" s="773">
        <f>ProteinCurrent!P23</f>
        <v>0.19321680000000002</v>
      </c>
      <c r="H10" s="774">
        <f>F10/(1-G10)</f>
        <v>0.72629022902173</v>
      </c>
      <c r="I10" s="534">
        <f>H10*$B$3</f>
        <v>10531208.320815085</v>
      </c>
      <c r="J10" s="775">
        <f>NutsY!J7</f>
        <v>700</v>
      </c>
      <c r="K10" s="387">
        <f>I10/J10</f>
        <v>15044.583315450122</v>
      </c>
      <c r="L10" s="534">
        <f>K10/1000</f>
        <v>15.044583315450122</v>
      </c>
    </row>
    <row r="11" spans="1:12" ht="12.75">
      <c r="A11" s="560" t="s">
        <v>949</v>
      </c>
      <c r="B11" s="787">
        <v>0.0035454952240563317</v>
      </c>
      <c r="C11" s="787">
        <v>0.0017727476120281659</v>
      </c>
      <c r="D11" s="772">
        <f>B11/SUM(B8:B12)</f>
        <v>0.02271930448569118</v>
      </c>
      <c r="E11" s="785">
        <f>D11*C14</f>
        <v>0.0027759406268204954</v>
      </c>
      <c r="F11" s="786">
        <f>(E11*365)/16</f>
        <v>0.06332614554934256</v>
      </c>
      <c r="G11" s="799">
        <f>ProteinCurrent!P24</f>
        <v>0.24950399999999998</v>
      </c>
      <c r="H11" s="774">
        <f>F11/(1-G11)</f>
        <v>0.08437905804873384</v>
      </c>
      <c r="I11" s="534">
        <f>H11*$B$3</f>
        <v>1223496.3417066408</v>
      </c>
      <c r="J11" s="801">
        <f>NutsY!J8</f>
        <v>1032</v>
      </c>
      <c r="K11" s="387">
        <f>I11/J11</f>
        <v>1185.5584706459697</v>
      </c>
      <c r="L11" s="534">
        <f>K11/1000</f>
        <v>1.1855584706459696</v>
      </c>
    </row>
    <row r="12" spans="1:12" ht="12.75">
      <c r="A12" s="560" t="s">
        <v>948</v>
      </c>
      <c r="B12" s="787" t="s">
        <v>146</v>
      </c>
      <c r="C12" s="787" t="s">
        <v>146</v>
      </c>
      <c r="D12" s="481" t="s">
        <v>146</v>
      </c>
      <c r="E12" s="785"/>
      <c r="F12" s="786"/>
      <c r="G12" s="773"/>
      <c r="H12" s="774"/>
      <c r="I12" s="534"/>
      <c r="J12" s="775"/>
      <c r="K12" s="387"/>
      <c r="L12" s="534"/>
    </row>
    <row r="13" spans="1:12" ht="12.75">
      <c r="A13" s="560" t="s">
        <v>950</v>
      </c>
      <c r="B13" s="787">
        <f>ProteinCurrent!AD25+ProteinCurrent!AD26+ProteinCurrent!AD27</f>
        <v>0.08831194770281367</v>
      </c>
      <c r="C13" s="787">
        <f>B13/2</f>
        <v>0.044155973851406835</v>
      </c>
      <c r="D13" s="767" t="s">
        <v>159</v>
      </c>
      <c r="E13" s="785"/>
      <c r="F13" s="786"/>
      <c r="G13" s="532"/>
      <c r="H13" s="794"/>
      <c r="I13" s="534"/>
      <c r="J13" s="775"/>
      <c r="K13" s="387"/>
      <c r="L13" s="534"/>
    </row>
    <row r="14" spans="1:12" ht="12.75">
      <c r="A14" s="766" t="s">
        <v>188</v>
      </c>
      <c r="B14" s="788">
        <f>ProteinCurrent!AD20</f>
        <v>0.24436845138184643</v>
      </c>
      <c r="C14" s="788">
        <f>ProteinCurrent!T20</f>
        <v>0.12218422569092321</v>
      </c>
      <c r="D14" s="776"/>
      <c r="E14" s="789">
        <f>SUM(E8:E12)</f>
        <v>0.12218422569092321</v>
      </c>
      <c r="F14" s="790">
        <f>SUM(F8:F12)</f>
        <v>2.7873276485741854</v>
      </c>
      <c r="G14" s="777">
        <f>1-(F14/H14)</f>
        <v>0.2396164716280632</v>
      </c>
      <c r="H14" s="795">
        <f>SUM(H8:H12)</f>
        <v>3.6656865181471705</v>
      </c>
      <c r="I14" s="779">
        <f>SUM(I8:I12)</f>
        <v>53152454.513133965</v>
      </c>
      <c r="J14" s="780">
        <f>I14/K14</f>
        <v>1466.8525558609697</v>
      </c>
      <c r="K14" s="796">
        <f>SUM(K8:K12)</f>
        <v>36235.71728512012</v>
      </c>
      <c r="L14" s="779">
        <f t="shared" si="0"/>
        <v>36.23571728512012</v>
      </c>
    </row>
    <row r="15" spans="1:12" ht="12.75">
      <c r="A15" s="288" t="s">
        <v>133</v>
      </c>
      <c r="B15" s="791">
        <f>ProteinCurrent!AD19</f>
        <v>0.5164856467439891</v>
      </c>
      <c r="C15" s="788">
        <f>ProteinCurrent!T19</f>
        <v>0.25824282337199456</v>
      </c>
      <c r="D15" s="776"/>
      <c r="E15" s="792">
        <f>C15</f>
        <v>0.25824282337199456</v>
      </c>
      <c r="F15" s="788">
        <f>E15*365/16</f>
        <v>5.891164408173625</v>
      </c>
      <c r="G15" s="781">
        <f>ProteinCurrent!P19</f>
        <v>0.09940480000000002</v>
      </c>
      <c r="H15" s="782">
        <f>F15/(1-G15)</f>
        <v>6.541412177384052</v>
      </c>
      <c r="I15" s="779">
        <f>H15*B3</f>
        <v>94850476.57206875</v>
      </c>
      <c r="J15" s="779">
        <f>NutsY!J10</f>
        <v>2718.4049999999997</v>
      </c>
      <c r="K15" s="778">
        <f>I15/J15</f>
        <v>34891.95928203074</v>
      </c>
      <c r="L15" s="779">
        <f t="shared" si="0"/>
        <v>34.89195928203074</v>
      </c>
    </row>
    <row r="16" spans="1:12" ht="12.75">
      <c r="A16" s="561" t="s">
        <v>485</v>
      </c>
      <c r="B16" s="793">
        <f>B15+B14</f>
        <v>0.7608540981258356</v>
      </c>
      <c r="C16" s="793">
        <f>C15+C14</f>
        <v>0.3804270490629178</v>
      </c>
      <c r="D16" s="793"/>
      <c r="E16" s="793">
        <f>E15+E14</f>
        <v>0.3804270490629178</v>
      </c>
      <c r="F16" s="784">
        <f>F15+F14</f>
        <v>8.67849205674781</v>
      </c>
      <c r="G16" s="800"/>
      <c r="H16" s="797">
        <f>H14+H15</f>
        <v>10.207098695531222</v>
      </c>
      <c r="I16" s="770">
        <f>I14+I15</f>
        <v>148002931.08520272</v>
      </c>
      <c r="J16" s="770">
        <f>I16/K16</f>
        <v>2080.8064909230484</v>
      </c>
      <c r="K16" s="477">
        <f>K14+K15</f>
        <v>71127.67656715086</v>
      </c>
      <c r="L16" s="534">
        <f t="shared" si="0"/>
        <v>71.12767656715086</v>
      </c>
    </row>
    <row r="19" ht="12.75">
      <c r="A19" s="8" t="s">
        <v>489</v>
      </c>
    </row>
    <row r="20" spans="1:6" s="36" customFormat="1" ht="12.75">
      <c r="A20" s="22"/>
      <c r="B20" s="21" t="s">
        <v>307</v>
      </c>
      <c r="C20" s="21" t="s">
        <v>487</v>
      </c>
      <c r="D20" s="21" t="s">
        <v>490</v>
      </c>
      <c r="E20" s="21" t="s">
        <v>492</v>
      </c>
      <c r="F20" s="21" t="s">
        <v>493</v>
      </c>
    </row>
    <row r="21" spans="1:6" ht="12.75">
      <c r="A21" s="13" t="s">
        <v>479</v>
      </c>
      <c r="B21" s="58">
        <f>C21*2</f>
        <v>0.1343724098261497</v>
      </c>
      <c r="C21" s="301">
        <f>E8</f>
        <v>0.06718620491307485</v>
      </c>
      <c r="D21">
        <v>14.01</v>
      </c>
      <c r="E21" s="58">
        <f>C21*D21</f>
        <v>0.9412787308321786</v>
      </c>
      <c r="F21" s="234">
        <f>E21*9</f>
        <v>8.471508577489608</v>
      </c>
    </row>
    <row r="22" spans="1:6" ht="12.75">
      <c r="A22" s="13" t="s">
        <v>480</v>
      </c>
      <c r="B22" s="26">
        <f>C22*2</f>
        <v>0.053072433827633006</v>
      </c>
      <c r="C22" s="301">
        <f>E9</f>
        <v>0.026536216913816503</v>
      </c>
      <c r="D22">
        <v>18.49</v>
      </c>
      <c r="E22" s="58">
        <f>C22*D22</f>
        <v>0.4906546507364671</v>
      </c>
      <c r="F22" s="234">
        <f>E22*9</f>
        <v>4.415891856628203</v>
      </c>
    </row>
    <row r="23" spans="1:6" ht="12.75">
      <c r="A23" s="13" t="s">
        <v>482</v>
      </c>
      <c r="B23" s="26">
        <f>C23*2</f>
        <v>0.05137172647442272</v>
      </c>
      <c r="C23" s="301">
        <f>E10</f>
        <v>0.02568586323721136</v>
      </c>
      <c r="D23">
        <v>20.4</v>
      </c>
      <c r="E23" s="58">
        <f>C23*D23</f>
        <v>0.5239916100391118</v>
      </c>
      <c r="F23" s="234">
        <f>E23*9</f>
        <v>4.7159244903520054</v>
      </c>
    </row>
    <row r="24" spans="1:6" ht="12.75">
      <c r="A24" s="13" t="s">
        <v>486</v>
      </c>
      <c r="B24" s="26">
        <f>C24*2</f>
        <v>0.5164856467439891</v>
      </c>
      <c r="C24" s="301">
        <f>E15</f>
        <v>0.25824282337199456</v>
      </c>
      <c r="D24">
        <v>14.08</v>
      </c>
      <c r="E24" s="58">
        <f>C24*D24</f>
        <v>3.6360589530776832</v>
      </c>
      <c r="F24" s="234">
        <f>E24*9</f>
        <v>32.72453057769915</v>
      </c>
    </row>
    <row r="25" spans="5:6" ht="12.75">
      <c r="E25" s="286">
        <f>SUM(E21:E24)</f>
        <v>5.591983944685441</v>
      </c>
      <c r="F25" s="234">
        <f>SUM(F21:F24)</f>
        <v>50.327855502168966</v>
      </c>
    </row>
    <row r="26" ht="12.75">
      <c r="E26" t="s">
        <v>491</v>
      </c>
    </row>
  </sheetData>
  <sheetProtection/>
  <mergeCells count="4">
    <mergeCell ref="K6:L6"/>
    <mergeCell ref="E6:F6"/>
    <mergeCell ref="H6:I6"/>
    <mergeCell ref="B6:C6"/>
  </mergeCells>
  <printOptions/>
  <pageMargins left="0.7" right="0.7" top="0.75" bottom="0.75" header="0.3" footer="0.3"/>
  <pageSetup orientation="portrait" paperSize="9"/>
  <ignoredErrors>
    <ignoredError sqref="G14 J14" formula="1"/>
  </ignoredErrors>
  <legacyDrawing r:id="rId2"/>
</worksheet>
</file>

<file path=xl/worksheets/sheet26.xml><?xml version="1.0" encoding="utf-8"?>
<worksheet xmlns="http://schemas.openxmlformats.org/spreadsheetml/2006/main" xmlns:r="http://schemas.openxmlformats.org/officeDocument/2006/relationships">
  <dimension ref="A1:K17"/>
  <sheetViews>
    <sheetView zoomScalePageLayoutView="0" workbookViewId="0" topLeftCell="A1">
      <selection activeCell="A2" sqref="A2"/>
    </sheetView>
  </sheetViews>
  <sheetFormatPr defaultColWidth="11.421875" defaultRowHeight="12.75"/>
  <cols>
    <col min="1" max="1" width="11.421875" style="909" customWidth="1"/>
    <col min="2" max="2" width="19.140625" style="909" customWidth="1"/>
    <col min="3" max="7" width="6.7109375" style="909" bestFit="1" customWidth="1"/>
    <col min="8" max="8" width="11.421875" style="909" customWidth="1"/>
    <col min="9" max="9" width="13.00390625" style="909" customWidth="1"/>
    <col min="10" max="10" width="13.7109375" style="909" customWidth="1"/>
    <col min="11" max="16384" width="11.421875" style="909" customWidth="1"/>
  </cols>
  <sheetData>
    <row r="1" ht="15.75">
      <c r="A1" s="1108" t="s">
        <v>1231</v>
      </c>
    </row>
    <row r="2" ht="12.75">
      <c r="A2" s="909" t="s">
        <v>170</v>
      </c>
    </row>
    <row r="3" spans="3:8" ht="12.75">
      <c r="C3" s="1440" t="s">
        <v>190</v>
      </c>
      <c r="D3" s="1440"/>
      <c r="E3" s="1440"/>
      <c r="F3" s="1440"/>
      <c r="G3" s="1440"/>
      <c r="H3" s="1440"/>
    </row>
    <row r="4" spans="3:11" ht="12.75">
      <c r="C4" s="909">
        <v>2009</v>
      </c>
      <c r="D4" s="909">
        <v>2010</v>
      </c>
      <c r="E4" s="909">
        <v>2011</v>
      </c>
      <c r="F4" s="909">
        <v>2012</v>
      </c>
      <c r="G4" s="909">
        <v>2013</v>
      </c>
      <c r="H4" s="909" t="s">
        <v>1232</v>
      </c>
      <c r="I4" s="909" t="s">
        <v>1233</v>
      </c>
      <c r="J4" s="909" t="s">
        <v>1234</v>
      </c>
      <c r="K4" s="909" t="s">
        <v>1235</v>
      </c>
    </row>
    <row r="5" spans="1:11" ht="12.75">
      <c r="A5" s="1101" t="s">
        <v>752</v>
      </c>
      <c r="B5" s="1101" t="s">
        <v>1236</v>
      </c>
      <c r="C5" s="1109">
        <v>1960</v>
      </c>
      <c r="D5" s="1109">
        <v>2220</v>
      </c>
      <c r="E5" s="1109">
        <v>2670</v>
      </c>
      <c r="F5" s="1109">
        <v>2560</v>
      </c>
      <c r="G5" s="1109"/>
      <c r="H5" s="1102">
        <f>AVERAGE(C5:G5)</f>
        <v>2352.5</v>
      </c>
      <c r="I5" s="1110" t="s">
        <v>1237</v>
      </c>
      <c r="J5" s="1102">
        <f>H5</f>
        <v>2352.5</v>
      </c>
      <c r="K5" s="909" t="s">
        <v>1238</v>
      </c>
    </row>
    <row r="6" spans="1:11" ht="12.75">
      <c r="A6" s="909" t="s">
        <v>755</v>
      </c>
      <c r="B6" s="909" t="s">
        <v>1239</v>
      </c>
      <c r="C6" s="1099">
        <f>2000*1.93</f>
        <v>3860</v>
      </c>
      <c r="D6" s="1099">
        <f>2000*2.13</f>
        <v>4260</v>
      </c>
      <c r="E6" s="1099">
        <f>2000*1.88</f>
        <v>3760</v>
      </c>
      <c r="F6" s="1099">
        <f>2000*1.92</f>
        <v>3840</v>
      </c>
      <c r="G6" s="1099"/>
      <c r="H6" s="912">
        <f>AVERAGE(C6:G6)</f>
        <v>3930</v>
      </c>
      <c r="I6" s="1100">
        <v>0.4</v>
      </c>
      <c r="J6" s="912">
        <f>I6*H6</f>
        <v>1572</v>
      </c>
      <c r="K6" s="909" t="s">
        <v>1238</v>
      </c>
    </row>
    <row r="7" spans="1:11" ht="12.75">
      <c r="A7" s="909" t="s">
        <v>754</v>
      </c>
      <c r="B7" s="909" t="s">
        <v>1239</v>
      </c>
      <c r="C7" s="1099"/>
      <c r="D7" s="1099"/>
      <c r="E7" s="1099"/>
      <c r="F7" s="1099"/>
      <c r="G7" s="1099"/>
      <c r="H7" s="912">
        <v>1400</v>
      </c>
      <c r="I7" s="1100">
        <v>0.5</v>
      </c>
      <c r="J7" s="912">
        <f>I7*H7</f>
        <v>700</v>
      </c>
      <c r="K7" s="909" t="s">
        <v>1240</v>
      </c>
    </row>
    <row r="8" spans="1:11" ht="12.75">
      <c r="A8" s="909" t="s">
        <v>753</v>
      </c>
      <c r="B8" s="909" t="s">
        <v>1239</v>
      </c>
      <c r="C8" s="1099">
        <f>2000*1.64</f>
        <v>3280</v>
      </c>
      <c r="D8" s="1099">
        <f>2000*0.97</f>
        <v>1940</v>
      </c>
      <c r="E8" s="1099">
        <f>2000*1.35</f>
        <v>2700</v>
      </c>
      <c r="F8" s="1099">
        <f>2000*1.2</f>
        <v>2400</v>
      </c>
      <c r="G8" s="1099"/>
      <c r="H8" s="912">
        <f>AVERAGE(C8:G8)</f>
        <v>2580</v>
      </c>
      <c r="I8" s="1100">
        <v>0.4</v>
      </c>
      <c r="J8" s="912">
        <f>I8*H8</f>
        <v>1032</v>
      </c>
      <c r="K8" s="909" t="s">
        <v>1238</v>
      </c>
    </row>
    <row r="9" spans="1:11" ht="12.75">
      <c r="A9" s="909" t="s">
        <v>1241</v>
      </c>
      <c r="B9" s="909" t="s">
        <v>1242</v>
      </c>
      <c r="C9" s="1099"/>
      <c r="D9" s="1099"/>
      <c r="E9" s="1099"/>
      <c r="F9" s="1099"/>
      <c r="G9" s="1099"/>
      <c r="H9" s="1111">
        <f>2204.62</f>
        <v>2204.62</v>
      </c>
      <c r="I9" s="1100">
        <v>0.84</v>
      </c>
      <c r="J9" s="912">
        <f>I9*H9</f>
        <v>1851.8808</v>
      </c>
      <c r="K9" s="909" t="s">
        <v>1243</v>
      </c>
    </row>
    <row r="10" spans="1:11" ht="12.75">
      <c r="A10" s="909" t="s">
        <v>133</v>
      </c>
      <c r="B10" s="909" t="s">
        <v>1242</v>
      </c>
      <c r="C10" s="1099">
        <v>3421</v>
      </c>
      <c r="D10" s="1099">
        <v>3312</v>
      </c>
      <c r="E10" s="1099">
        <v>3386</v>
      </c>
      <c r="F10" s="1099">
        <v>4216.5</v>
      </c>
      <c r="G10" s="1099">
        <v>3787.2</v>
      </c>
      <c r="H10" s="912">
        <f>AVERAGE(C10:G10)</f>
        <v>3624.54</v>
      </c>
      <c r="I10" s="1100">
        <v>0.75</v>
      </c>
      <c r="J10" s="1099">
        <f>I10*H10</f>
        <v>2718.4049999999997</v>
      </c>
      <c r="K10" s="909" t="s">
        <v>1238</v>
      </c>
    </row>
    <row r="11" spans="3:11" ht="12.75">
      <c r="C11" s="1099"/>
      <c r="D11" s="1099"/>
      <c r="E11" s="1099"/>
      <c r="F11" s="1099"/>
      <c r="G11" s="1099"/>
      <c r="K11" s="909" t="s">
        <v>1244</v>
      </c>
    </row>
    <row r="12" spans="3:7" ht="12.75">
      <c r="C12" s="1099"/>
      <c r="D12" s="1099"/>
      <c r="E12" s="1099"/>
      <c r="F12" s="1099"/>
      <c r="G12" s="1099"/>
    </row>
    <row r="13" spans="3:7" ht="12.75">
      <c r="C13" s="1099"/>
      <c r="D13" s="1099"/>
      <c r="E13" s="1099"/>
      <c r="F13" s="1099"/>
      <c r="G13" s="1099"/>
    </row>
    <row r="14" spans="3:7" ht="12.75">
      <c r="C14" s="1099"/>
      <c r="D14" s="1099"/>
      <c r="E14" s="1099"/>
      <c r="F14" s="1099"/>
      <c r="G14" s="1099"/>
    </row>
    <row r="15" spans="3:7" s="1112" customFormat="1" ht="12.75">
      <c r="C15" s="1113"/>
      <c r="D15" s="1113"/>
      <c r="E15" s="1113"/>
      <c r="F15" s="1113"/>
      <c r="G15" s="1113"/>
    </row>
    <row r="16" spans="3:7" s="1112" customFormat="1" ht="12.75">
      <c r="C16" s="1114"/>
      <c r="D16" s="1114"/>
      <c r="E16" s="1113"/>
      <c r="F16" s="1113"/>
      <c r="G16" s="1113"/>
    </row>
    <row r="17" spans="2:4" s="1112" customFormat="1" ht="12.75">
      <c r="B17" s="1113"/>
      <c r="C17" s="1115"/>
      <c r="D17" s="1113"/>
    </row>
    <row r="18" s="1112" customFormat="1" ht="12.75"/>
  </sheetData>
  <sheetProtection/>
  <mergeCells count="1">
    <mergeCell ref="C3:H3"/>
  </mergeCells>
  <printOptions/>
  <pageMargins left="0.7" right="0.7" top="0.75" bottom="0.75" header="0.3" footer="0.3"/>
  <pageSetup orientation="portrait" paperSize="9"/>
  <legacyDrawing r:id="rId2"/>
</worksheet>
</file>

<file path=xl/worksheets/sheet27.xml><?xml version="1.0" encoding="utf-8"?>
<worksheet xmlns="http://schemas.openxmlformats.org/spreadsheetml/2006/main" xmlns:r="http://schemas.openxmlformats.org/officeDocument/2006/relationships">
  <dimension ref="A1:Q43"/>
  <sheetViews>
    <sheetView tabSelected="1" zoomScalePageLayoutView="0" workbookViewId="0" topLeftCell="A1">
      <selection activeCell="F36" sqref="F36"/>
    </sheetView>
  </sheetViews>
  <sheetFormatPr defaultColWidth="11.421875" defaultRowHeight="12.75"/>
  <cols>
    <col min="1" max="1" width="59.140625" style="13" customWidth="1"/>
    <col min="2" max="3" width="11.421875" style="13" customWidth="1"/>
    <col min="4" max="4" width="10.140625" style="13" customWidth="1"/>
    <col min="5" max="5" width="7.140625" style="13" customWidth="1"/>
    <col min="6" max="6" width="11.7109375" style="13" customWidth="1"/>
    <col min="7" max="7" width="19.28125" style="13" customWidth="1"/>
    <col min="8" max="8" width="11.421875" style="13" customWidth="1"/>
    <col min="9" max="9" width="10.421875" style="13" customWidth="1"/>
    <col min="10" max="11" width="13.28125" style="13" customWidth="1"/>
    <col min="12" max="12" width="11.421875" style="13" customWidth="1"/>
    <col min="13" max="13" width="15.7109375" style="13" customWidth="1"/>
    <col min="14" max="14" width="26.140625" style="13" customWidth="1"/>
    <col min="15" max="16384" width="11.421875" style="13" customWidth="1"/>
  </cols>
  <sheetData>
    <row r="1" s="46" customFormat="1" ht="15.75">
      <c r="A1" s="1222" t="s">
        <v>478</v>
      </c>
    </row>
    <row r="2" s="46" customFormat="1" ht="12.75">
      <c r="A2" s="46" t="s">
        <v>1319</v>
      </c>
    </row>
    <row r="3" spans="1:2" s="46" customFormat="1" ht="12.75">
      <c r="A3" s="46" t="s">
        <v>180</v>
      </c>
      <c r="B3" s="182">
        <v>14500000</v>
      </c>
    </row>
    <row r="4" s="46" customFormat="1" ht="12.75">
      <c r="B4" s="182"/>
    </row>
    <row r="5" spans="1:17" s="46" customFormat="1" ht="12.75">
      <c r="A5" s="1253" t="s">
        <v>1387</v>
      </c>
      <c r="B5" s="1253"/>
      <c r="C5" s="1253"/>
      <c r="D5" s="1253"/>
      <c r="N5"/>
      <c r="O5"/>
      <c r="P5"/>
      <c r="Q5"/>
    </row>
    <row r="6" spans="1:17" s="46" customFormat="1" ht="12.75">
      <c r="A6" s="1253"/>
      <c r="B6" s="1253"/>
      <c r="C6" s="1253"/>
      <c r="D6" s="1253"/>
      <c r="E6" s="68"/>
      <c r="F6" s="68"/>
      <c r="G6" s="68"/>
      <c r="H6" s="1441"/>
      <c r="I6" s="1441"/>
      <c r="J6" s="1441"/>
      <c r="K6" s="1441"/>
      <c r="L6" s="1441"/>
      <c r="M6" s="1441"/>
      <c r="N6"/>
      <c r="O6"/>
      <c r="P6"/>
      <c r="Q6"/>
    </row>
    <row r="7" spans="1:17" ht="12.75">
      <c r="A7" s="1253"/>
      <c r="B7" s="1253"/>
      <c r="C7" s="1253"/>
      <c r="D7" s="1253"/>
      <c r="E7" s="822" t="s">
        <v>123</v>
      </c>
      <c r="F7" s="822" t="s">
        <v>168</v>
      </c>
      <c r="G7" s="276"/>
      <c r="H7" s="19"/>
      <c r="I7" s="19"/>
      <c r="J7" s="19"/>
      <c r="K7" s="19"/>
      <c r="L7" s="19"/>
      <c r="M7" s="19"/>
      <c r="N7"/>
      <c r="O7"/>
      <c r="P7"/>
      <c r="Q7"/>
    </row>
    <row r="8" spans="1:13" ht="12.75">
      <c r="A8" s="276" t="s">
        <v>960</v>
      </c>
      <c r="B8" s="276" t="s">
        <v>954</v>
      </c>
      <c r="C8" s="276" t="s">
        <v>806</v>
      </c>
      <c r="D8" s="276" t="s">
        <v>484</v>
      </c>
      <c r="E8" s="276" t="s">
        <v>39</v>
      </c>
      <c r="F8" s="276" t="s">
        <v>484</v>
      </c>
      <c r="G8" s="276" t="s">
        <v>33</v>
      </c>
      <c r="H8" s="19"/>
      <c r="I8" s="19"/>
      <c r="J8" s="19"/>
      <c r="K8" s="19"/>
      <c r="L8" s="19"/>
      <c r="M8" s="19"/>
    </row>
    <row r="9" spans="1:15" ht="12.75">
      <c r="A9" s="829" t="s">
        <v>763</v>
      </c>
      <c r="B9" s="567">
        <f>FatsCurrent!V13</f>
        <v>3.0758578631424984</v>
      </c>
      <c r="C9" s="319">
        <f>FatsCurrent!AB13</f>
        <v>16.609632460969486</v>
      </c>
      <c r="D9" s="832">
        <f>FatsCurrent!R13</f>
        <v>2.4751056457058587</v>
      </c>
      <c r="E9" s="815">
        <f>FatsCurrent!P13</f>
        <v>0.39549999999999996</v>
      </c>
      <c r="F9" s="835">
        <f>FatsCurrent!B13</f>
        <v>4.094467569405888</v>
      </c>
      <c r="G9" s="833">
        <f>F9*B3</f>
        <v>59369779.75638537</v>
      </c>
      <c r="H9" s="19"/>
      <c r="I9" s="818"/>
      <c r="J9" s="817"/>
      <c r="K9" s="5"/>
      <c r="L9" s="817"/>
      <c r="M9" s="817"/>
      <c r="N9" s="302"/>
      <c r="O9" s="302"/>
    </row>
    <row r="10" spans="1:15" ht="12.75">
      <c r="A10" s="829" t="s">
        <v>766</v>
      </c>
      <c r="B10" s="830">
        <f>FatsCurrent!V14</f>
        <v>12.129801051810478</v>
      </c>
      <c r="C10" s="319">
        <f>FatsCurrent!AB14</f>
        <v>109.16820946629431</v>
      </c>
      <c r="D10" s="290">
        <f>FatsCurrent!R14</f>
        <v>9.76070429793917</v>
      </c>
      <c r="E10" s="394">
        <f>FatsCurrent!P14</f>
        <v>0.4865</v>
      </c>
      <c r="F10" s="289">
        <f>FatsCurrent!B14</f>
        <v>19.00818753250082</v>
      </c>
      <c r="G10" s="833">
        <f>F10*$B$3</f>
        <v>275618719.22126186</v>
      </c>
      <c r="H10" s="838"/>
      <c r="I10" s="818"/>
      <c r="J10" s="817"/>
      <c r="K10" s="5"/>
      <c r="L10" s="817"/>
      <c r="M10" s="817"/>
      <c r="N10" s="809"/>
      <c r="O10" s="809"/>
    </row>
    <row r="11" spans="1:15" ht="12.75">
      <c r="A11" s="829" t="s">
        <v>767</v>
      </c>
      <c r="B11" s="567">
        <f>FatsCurrent!V15</f>
        <v>42.28967867020073</v>
      </c>
      <c r="C11" s="319">
        <f>FatsCurrent!AB15</f>
        <v>380.6071080318065</v>
      </c>
      <c r="D11" s="833">
        <f>FatsCurrent!R15</f>
        <v>34.02999328608808</v>
      </c>
      <c r="E11" s="813">
        <f>FatsCurrent!P15</f>
        <v>0.3285</v>
      </c>
      <c r="F11" s="289">
        <f>FatsCurrent!B15</f>
        <v>50.67757749231286</v>
      </c>
      <c r="G11" s="833">
        <f>F11*$B$3</f>
        <v>734824873.6385365</v>
      </c>
      <c r="H11" s="838"/>
      <c r="I11" s="818"/>
      <c r="J11" s="817"/>
      <c r="K11" s="5"/>
      <c r="L11" s="817"/>
      <c r="M11" s="817"/>
      <c r="N11" s="19"/>
      <c r="O11" s="810"/>
    </row>
    <row r="12" spans="1:15" ht="12.75">
      <c r="A12" s="829" t="s">
        <v>768</v>
      </c>
      <c r="B12" s="831">
        <f>FatsCurrent!V16</f>
        <v>1.5635447441777937</v>
      </c>
      <c r="C12" s="819">
        <f>FatsCurrent!AB16</f>
        <v>14.071902697600143</v>
      </c>
      <c r="D12" s="833">
        <f>FatsCurrent!R16</f>
        <v>1.2581655576484918</v>
      </c>
      <c r="E12" s="813">
        <f>FatsCurrent!P16</f>
        <v>0.28750000000000003</v>
      </c>
      <c r="F12" s="836">
        <f>FatsCurrent!B16</f>
        <v>1.7658463966996376</v>
      </c>
      <c r="G12" s="833">
        <f>F12*$B$3</f>
        <v>25604772.752144746</v>
      </c>
      <c r="H12" s="19"/>
      <c r="I12" s="818"/>
      <c r="J12" s="817"/>
      <c r="K12" s="5"/>
      <c r="L12" s="817"/>
      <c r="M12" s="817"/>
      <c r="N12" s="188"/>
      <c r="O12" s="188"/>
    </row>
    <row r="13" spans="1:15" ht="12.75">
      <c r="A13" s="811" t="s">
        <v>961</v>
      </c>
      <c r="B13" s="831">
        <f>SUM(B9:B12)</f>
        <v>59.0588823293315</v>
      </c>
      <c r="C13" s="819">
        <f>SUM(C9:C12)</f>
        <v>520.4568526566704</v>
      </c>
      <c r="D13" s="834">
        <f>SUM(D9:D12)</f>
        <v>47.5239687873816</v>
      </c>
      <c r="E13" s="814"/>
      <c r="F13" s="836">
        <f>SUM(F9:F12)</f>
        <v>75.54607899091921</v>
      </c>
      <c r="G13" s="833">
        <f>SUM(G9:G12)</f>
        <v>1095418145.3683286</v>
      </c>
      <c r="H13" s="838"/>
      <c r="I13" s="818"/>
      <c r="J13" s="817"/>
      <c r="K13" s="19"/>
      <c r="L13" s="19"/>
      <c r="M13" s="19"/>
      <c r="N13" s="188"/>
      <c r="O13" s="188"/>
    </row>
    <row r="14" spans="1:15" ht="12.75">
      <c r="A14" s="811"/>
      <c r="B14" s="831"/>
      <c r="C14" s="819"/>
      <c r="D14" s="819"/>
      <c r="E14" s="814"/>
      <c r="F14" s="836"/>
      <c r="G14" s="833"/>
      <c r="H14" s="288" t="s">
        <v>956</v>
      </c>
      <c r="I14" s="1351" t="s">
        <v>955</v>
      </c>
      <c r="J14" s="1351"/>
      <c r="K14" s="19"/>
      <c r="L14" s="1442"/>
      <c r="M14" s="1442"/>
      <c r="N14" s="188"/>
      <c r="O14" s="188"/>
    </row>
    <row r="15" spans="1:15" s="9" customFormat="1" ht="12.75">
      <c r="A15" s="852" t="s">
        <v>965</v>
      </c>
      <c r="B15" s="839"/>
      <c r="C15" s="840"/>
      <c r="D15" s="840"/>
      <c r="E15" s="841"/>
      <c r="F15" s="842"/>
      <c r="G15" s="845"/>
      <c r="H15" s="288" t="s">
        <v>170</v>
      </c>
      <c r="I15" s="276" t="s">
        <v>191</v>
      </c>
      <c r="J15" s="276" t="s">
        <v>942</v>
      </c>
      <c r="K15" s="19"/>
      <c r="L15" s="19"/>
      <c r="M15" s="19"/>
      <c r="N15" s="215"/>
      <c r="O15" s="215"/>
    </row>
    <row r="16" spans="1:15" ht="12.75">
      <c r="A16" s="829" t="s">
        <v>465</v>
      </c>
      <c r="B16" s="831">
        <f>D16*(FatsCurrent!V17/FatsCurrent!R17)</f>
        <v>54.38523540304667</v>
      </c>
      <c r="C16" s="819">
        <f>B16*8.84</f>
        <v>480.76548096293254</v>
      </c>
      <c r="D16" s="294">
        <f>F16*(1-E16)</f>
        <v>43.763141594455</v>
      </c>
      <c r="E16" s="813">
        <f>FatsCurrent!P17</f>
        <v>0.3709273939539063</v>
      </c>
      <c r="F16" s="836">
        <f>G16/B3</f>
        <v>69.56771153892586</v>
      </c>
      <c r="G16" s="1252">
        <f>H16*I16</f>
        <v>1008731817.314425</v>
      </c>
      <c r="H16" s="846">
        <f>2541*(11/60)</f>
        <v>465.84999999999997</v>
      </c>
      <c r="I16" s="847">
        <f>J16*1000</f>
        <v>2165357.5556819257</v>
      </c>
      <c r="J16" s="848">
        <f>Livestock!H38</f>
        <v>2165.3575556819255</v>
      </c>
      <c r="K16" s="19" t="s">
        <v>1374</v>
      </c>
      <c r="L16" s="19"/>
      <c r="M16" s="19"/>
      <c r="N16" s="188"/>
      <c r="O16" s="188"/>
    </row>
    <row r="17" spans="1:15" ht="12.75">
      <c r="A17" s="829" t="s">
        <v>962</v>
      </c>
      <c r="B17" s="831">
        <f>B13-B16</f>
        <v>4.673646926284832</v>
      </c>
      <c r="C17" s="819">
        <f>B17*8.84</f>
        <v>41.31503882835791</v>
      </c>
      <c r="D17" s="294">
        <f>B17*(FatsCurrent!R17/FatsCurrent!V17)</f>
        <v>3.7608271929266017</v>
      </c>
      <c r="E17" s="813">
        <f>FatsCurrent!P17</f>
        <v>0.3709273939539063</v>
      </c>
      <c r="F17" s="836">
        <f>D17/(1-E17)</f>
        <v>5.97836745199335</v>
      </c>
      <c r="G17" s="833">
        <f>F17*B3</f>
        <v>86686328.05390358</v>
      </c>
      <c r="H17" s="849">
        <f>41.5%*OilsY!G8</f>
        <v>653.708</v>
      </c>
      <c r="I17" s="850">
        <f>G17/H17</f>
        <v>132607.10906689774</v>
      </c>
      <c r="J17" s="851">
        <f>I17/1000</f>
        <v>132.60710906689775</v>
      </c>
      <c r="K17" s="19"/>
      <c r="L17" s="19"/>
      <c r="M17" s="19"/>
      <c r="N17" s="188"/>
      <c r="O17" s="188"/>
    </row>
    <row r="18" spans="1:15" ht="12.75">
      <c r="A18" s="829"/>
      <c r="B18" s="821"/>
      <c r="C18" s="819"/>
      <c r="D18" s="814"/>
      <c r="E18" s="814"/>
      <c r="F18" s="820"/>
      <c r="G18" s="833"/>
      <c r="H18" s="838"/>
      <c r="I18" s="817"/>
      <c r="J18" s="817"/>
      <c r="K18" s="19"/>
      <c r="L18" s="19"/>
      <c r="M18" s="19"/>
      <c r="N18" s="188"/>
      <c r="O18" s="188"/>
    </row>
    <row r="19" spans="1:15" ht="12.75">
      <c r="A19" s="829"/>
      <c r="B19" s="821"/>
      <c r="C19" s="819"/>
      <c r="D19" s="814"/>
      <c r="E19" s="814"/>
      <c r="F19" s="820"/>
      <c r="G19" s="833"/>
      <c r="H19" s="838"/>
      <c r="I19" s="817"/>
      <c r="J19" s="817"/>
      <c r="K19" s="19"/>
      <c r="L19" s="19"/>
      <c r="M19" s="19"/>
      <c r="N19" s="188"/>
      <c r="O19" s="188"/>
    </row>
    <row r="20" spans="1:15" ht="12.75">
      <c r="A20" s="843" t="s">
        <v>964</v>
      </c>
      <c r="B20" s="821"/>
      <c r="C20" s="819"/>
      <c r="D20" s="814"/>
      <c r="E20" s="814"/>
      <c r="F20" s="820"/>
      <c r="G20" s="833"/>
      <c r="H20" s="838"/>
      <c r="I20" s="818"/>
      <c r="J20" s="817"/>
      <c r="K20" s="5"/>
      <c r="L20" s="817"/>
      <c r="M20" s="817"/>
      <c r="N20" s="188"/>
      <c r="O20" s="188"/>
    </row>
    <row r="21" spans="1:16" ht="12.75">
      <c r="A21" s="188" t="s">
        <v>764</v>
      </c>
      <c r="B21" s="298">
        <f>FatsCurrent!V9</f>
        <v>0.5917485607008356</v>
      </c>
      <c r="C21" s="379">
        <f>FatsCurrent!AB9</f>
        <v>5.325737046307521</v>
      </c>
      <c r="D21" s="814">
        <f>FatsCurrent!R9</f>
        <v>0.4761729145483276</v>
      </c>
      <c r="E21" s="824">
        <f>FatsCurrent!P9</f>
        <v>0.675</v>
      </c>
      <c r="F21" s="820">
        <f>FatsCurrent!B9</f>
        <v>1.4651474293794693</v>
      </c>
      <c r="G21" s="833">
        <f>F21*$B$3</f>
        <v>21244637.726002306</v>
      </c>
      <c r="H21" s="188" t="s">
        <v>957</v>
      </c>
      <c r="K21" s="188"/>
      <c r="L21" s="188"/>
      <c r="M21" s="188"/>
      <c r="O21" s="188"/>
      <c r="P21" s="188"/>
    </row>
    <row r="22" spans="1:16" ht="12.75">
      <c r="A22" s="188" t="s">
        <v>953</v>
      </c>
      <c r="B22" s="298">
        <f>FatsCurrent!V10</f>
        <v>1.1098631029974784</v>
      </c>
      <c r="C22" s="379">
        <f>FatsCurrent!AB10</f>
        <v>9.988767926977305</v>
      </c>
      <c r="D22" s="814">
        <f>FatsCurrent!R10</f>
        <v>0.893093424474152</v>
      </c>
      <c r="E22" s="824">
        <f>FatsCurrent!P10</f>
        <v>0.675</v>
      </c>
      <c r="F22" s="820">
        <f>FatsCurrent!B10</f>
        <v>2.747979767612776</v>
      </c>
      <c r="G22" s="833">
        <f>F22*$B$3</f>
        <v>39845706.63038525</v>
      </c>
      <c r="H22" s="188" t="s">
        <v>957</v>
      </c>
      <c r="K22" s="188"/>
      <c r="L22" s="188"/>
      <c r="M22" s="188"/>
      <c r="O22" s="188"/>
      <c r="P22" s="188"/>
    </row>
    <row r="23" spans="1:16" ht="12.75">
      <c r="A23" s="811" t="s">
        <v>83</v>
      </c>
      <c r="B23" s="823">
        <f>FatsCurrent!V8</f>
        <v>3.6408662220775008</v>
      </c>
      <c r="C23" s="816">
        <f>FatsCurrent!AB8</f>
        <v>26.214236798958005</v>
      </c>
      <c r="D23" s="812">
        <f>FatsCurrent!R8</f>
        <v>2.929761043092223</v>
      </c>
      <c r="E23" s="824">
        <f>FatsCurrent!P8</f>
        <v>0.39549999999999996</v>
      </c>
      <c r="F23" s="820">
        <f>FatsCurrent!B8</f>
        <v>4.846585679226176</v>
      </c>
      <c r="G23" s="833">
        <f>F23*$B$3</f>
        <v>70275492.34877954</v>
      </c>
      <c r="H23" s="844" t="s">
        <v>958</v>
      </c>
      <c r="K23" s="809"/>
      <c r="L23" s="188"/>
      <c r="M23" s="188"/>
      <c r="O23" s="584"/>
      <c r="P23" s="584"/>
    </row>
    <row r="24" spans="1:16" ht="12.75">
      <c r="A24" s="188" t="s">
        <v>959</v>
      </c>
      <c r="B24" s="380">
        <f>FatsCurrent!V25</f>
        <v>14.494576051446723</v>
      </c>
      <c r="C24" s="381">
        <f>FatsCurrent!AB25</f>
        <v>27.37673841590069</v>
      </c>
      <c r="D24" s="825">
        <f>FatsCurrent!R25</f>
        <v>11.663610157979095</v>
      </c>
      <c r="E24" s="826">
        <f>FatsCurrent!P25</f>
        <v>0.23062036524455798</v>
      </c>
      <c r="F24" s="827">
        <f>FatsCurrent!B25</f>
        <v>15.159636506146722</v>
      </c>
      <c r="G24" s="828">
        <f>F24*B3</f>
        <v>219814729.33912745</v>
      </c>
      <c r="H24" s="188"/>
      <c r="K24" s="188"/>
      <c r="L24" s="188"/>
      <c r="M24" s="188"/>
      <c r="O24" s="188"/>
      <c r="P24" s="188"/>
    </row>
    <row r="25" spans="8:13" ht="12.75">
      <c r="H25" s="188"/>
      <c r="I25" s="186"/>
      <c r="J25" s="186"/>
      <c r="K25" s="19"/>
      <c r="L25" s="186">
        <f>SUM(L9:L24)</f>
        <v>0</v>
      </c>
      <c r="M25" s="186">
        <f>SUM(M9:M24)</f>
        <v>0</v>
      </c>
    </row>
    <row r="26" spans="1:15" ht="12.75">
      <c r="A26" s="188"/>
      <c r="B26" s="300"/>
      <c r="C26" s="379"/>
      <c r="D26" s="188"/>
      <c r="E26" s="188"/>
      <c r="F26" s="809"/>
      <c r="G26" s="809"/>
      <c r="H26" s="809"/>
      <c r="I26" s="188"/>
      <c r="J26" s="188"/>
      <c r="K26" s="188"/>
      <c r="L26" s="188"/>
      <c r="M26" s="188"/>
      <c r="N26" s="188"/>
      <c r="O26" s="188"/>
    </row>
    <row r="27" spans="1:15" ht="12.75">
      <c r="A27" s="188"/>
      <c r="B27" s="379"/>
      <c r="C27" s="379"/>
      <c r="D27" s="300"/>
      <c r="E27" s="379"/>
      <c r="F27" s="300"/>
      <c r="G27" s="379"/>
      <c r="H27" s="379"/>
      <c r="I27" s="188"/>
      <c r="J27" s="188"/>
      <c r="K27" s="188"/>
      <c r="L27" s="188"/>
      <c r="M27" s="188"/>
      <c r="N27" s="188"/>
      <c r="O27" s="188"/>
    </row>
    <row r="28" spans="5:15" ht="12.75" customHeight="1">
      <c r="E28" s="383"/>
      <c r="F28" s="300"/>
      <c r="G28" s="379"/>
      <c r="H28" s="379"/>
      <c r="I28" s="188"/>
      <c r="J28" s="188"/>
      <c r="K28" s="188"/>
      <c r="L28" s="188"/>
      <c r="M28" s="188"/>
      <c r="N28" s="188"/>
      <c r="O28" s="188"/>
    </row>
    <row r="29" spans="5:15" s="46" customFormat="1" ht="12.75">
      <c r="E29" s="188"/>
      <c r="F29" s="383"/>
      <c r="G29" s="379"/>
      <c r="H29" s="379"/>
      <c r="I29" s="188"/>
      <c r="J29" s="188"/>
      <c r="K29" s="188"/>
      <c r="L29" s="188"/>
      <c r="M29" s="188"/>
      <c r="N29" s="188"/>
      <c r="O29" s="188"/>
    </row>
    <row r="30" spans="5:15" s="46" customFormat="1" ht="12.75">
      <c r="E30" s="379"/>
      <c r="F30" s="300"/>
      <c r="G30" s="379"/>
      <c r="H30" s="379"/>
      <c r="I30" s="188"/>
      <c r="J30" s="188"/>
      <c r="K30" s="188"/>
      <c r="L30" s="188"/>
      <c r="M30" s="188"/>
      <c r="N30" s="188"/>
      <c r="O30" s="188"/>
    </row>
    <row r="31" s="46" customFormat="1" ht="12.75"/>
    <row r="32" s="46" customFormat="1" ht="12.75"/>
    <row r="33" ht="12.75">
      <c r="A33" s="40"/>
    </row>
    <row r="34" ht="12.75">
      <c r="A34" s="40"/>
    </row>
    <row r="35" ht="12.75">
      <c r="A35" s="40"/>
    </row>
    <row r="36" spans="1:5" ht="12.75">
      <c r="A36" s="1117"/>
      <c r="C36" s="46"/>
      <c r="D36" s="46"/>
      <c r="E36" s="46"/>
    </row>
    <row r="37" spans="1:5" ht="12.75">
      <c r="A37" s="46"/>
      <c r="B37" s="46"/>
      <c r="C37" s="46"/>
      <c r="D37" s="46"/>
      <c r="E37" s="46"/>
    </row>
    <row r="38" spans="1:5" ht="12.75">
      <c r="A38" s="46"/>
      <c r="B38" s="46"/>
      <c r="C38" s="1223"/>
      <c r="D38" s="46"/>
      <c r="E38" s="1223"/>
    </row>
    <row r="39" spans="1:5" ht="12.75">
      <c r="A39" s="811"/>
      <c r="B39" s="46"/>
      <c r="C39" s="1223"/>
      <c r="D39" s="46"/>
      <c r="E39" s="1223"/>
    </row>
    <row r="40" spans="1:5" ht="12.75">
      <c r="A40" s="46"/>
      <c r="B40" s="46"/>
      <c r="C40" s="46"/>
      <c r="D40" s="46"/>
      <c r="E40" s="46"/>
    </row>
    <row r="41" spans="1:5" ht="12.75">
      <c r="A41" s="46"/>
      <c r="B41" s="489"/>
      <c r="C41" s="46"/>
      <c r="D41" s="293"/>
      <c r="E41" s="46"/>
    </row>
    <row r="42" spans="1:5" ht="12.75">
      <c r="A42" s="46"/>
      <c r="B42" s="46"/>
      <c r="C42" s="46"/>
      <c r="D42" s="46"/>
      <c r="E42" s="46"/>
    </row>
    <row r="43" spans="3:4" ht="12.75">
      <c r="C43" s="293"/>
      <c r="D43" s="293"/>
    </row>
  </sheetData>
  <sheetProtection/>
  <mergeCells count="4">
    <mergeCell ref="H6:J6"/>
    <mergeCell ref="K6:M6"/>
    <mergeCell ref="I14:J14"/>
    <mergeCell ref="L14:M14"/>
  </mergeCells>
  <printOptions/>
  <pageMargins left="0.7" right="0.7" top="0.75" bottom="0.75" header="0.3" footer="0.3"/>
  <pageSetup horizontalDpi="300" verticalDpi="300" orientation="portrait"/>
  <legacyDrawing r:id="rId2"/>
</worksheet>
</file>

<file path=xl/worksheets/sheet28.xml><?xml version="1.0" encoding="utf-8"?>
<worksheet xmlns="http://schemas.openxmlformats.org/spreadsheetml/2006/main" xmlns:r="http://schemas.openxmlformats.org/officeDocument/2006/relationships">
  <dimension ref="A1:AC28"/>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D40" sqref="AD40"/>
    </sheetView>
  </sheetViews>
  <sheetFormatPr defaultColWidth="8.8515625" defaultRowHeight="12.75"/>
  <cols>
    <col min="1" max="1" width="23.28125" style="0" customWidth="1"/>
    <col min="2" max="2" width="8.8515625" style="0" customWidth="1"/>
    <col min="3" max="3" width="1.421875" style="0" hidden="1" customWidth="1"/>
    <col min="4" max="4" width="0" style="0" hidden="1" customWidth="1"/>
    <col min="5" max="5" width="0.9921875" style="0" hidden="1" customWidth="1"/>
    <col min="6" max="6" width="0" style="0" hidden="1" customWidth="1"/>
    <col min="7" max="7" width="1.421875" style="0" hidden="1" customWidth="1"/>
    <col min="8" max="8" width="0" style="0" hidden="1" customWidth="1"/>
    <col min="9" max="9" width="1.1484375" style="0" hidden="1" customWidth="1"/>
    <col min="10" max="10" width="0" style="0" hidden="1" customWidth="1"/>
    <col min="11" max="11" width="1.421875" style="0" hidden="1" customWidth="1"/>
    <col min="12" max="12" width="0" style="0" hidden="1" customWidth="1"/>
    <col min="13" max="13" width="1.8515625" style="0" hidden="1" customWidth="1"/>
    <col min="14" max="14" width="0" style="0" hidden="1" customWidth="1"/>
    <col min="15" max="15" width="1.8515625" style="0" hidden="1" customWidth="1"/>
    <col min="16" max="16" width="8.8515625" style="0" customWidth="1"/>
    <col min="17" max="17" width="1.8515625" style="0" hidden="1" customWidth="1"/>
    <col min="18" max="18" width="8.8515625" style="0" customWidth="1"/>
    <col min="19" max="19" width="1.8515625" style="0" hidden="1" customWidth="1"/>
    <col min="20" max="20" width="8.8515625" style="0" customWidth="1"/>
    <col min="21" max="21" width="1.28515625" style="0" hidden="1" customWidth="1"/>
    <col min="22" max="22" width="8.8515625" style="0" customWidth="1"/>
    <col min="23" max="23" width="1.28515625" style="0" hidden="1" customWidth="1"/>
    <col min="24" max="24" width="8.8515625" style="0" customWidth="1"/>
    <col min="25" max="25" width="1.28515625" style="0" hidden="1" customWidth="1"/>
    <col min="26" max="26" width="8.8515625" style="0" customWidth="1"/>
    <col min="27" max="27" width="1.421875" style="0" hidden="1" customWidth="1"/>
    <col min="28" max="28" width="8.8515625" style="0" customWidth="1"/>
    <col min="29" max="29" width="1.421875" style="0" hidden="1" customWidth="1"/>
  </cols>
  <sheetData>
    <row r="1" ht="18">
      <c r="A1" s="412" t="s">
        <v>759</v>
      </c>
    </row>
    <row r="2" ht="12.75">
      <c r="A2" s="13" t="s">
        <v>276</v>
      </c>
    </row>
    <row r="3" spans="1:29" s="13" customFormat="1" ht="12" customHeight="1">
      <c r="A3" s="1398" t="s">
        <v>494</v>
      </c>
      <c r="B3" s="1397" t="s">
        <v>580</v>
      </c>
      <c r="C3" s="1398"/>
      <c r="D3" s="1383" t="s">
        <v>195</v>
      </c>
      <c r="E3" s="1398"/>
      <c r="F3" s="1397" t="s">
        <v>196</v>
      </c>
      <c r="G3" s="1398"/>
      <c r="H3" s="1397" t="s">
        <v>197</v>
      </c>
      <c r="I3" s="1398"/>
      <c r="J3" s="1397" t="s">
        <v>198</v>
      </c>
      <c r="K3" s="1398"/>
      <c r="L3" s="1345" t="s">
        <v>199</v>
      </c>
      <c r="M3" s="1346"/>
      <c r="N3" s="1346"/>
      <c r="O3" s="1347"/>
      <c r="P3" s="1397" t="s">
        <v>200</v>
      </c>
      <c r="Q3" s="1398"/>
      <c r="R3" s="1397" t="s">
        <v>201</v>
      </c>
      <c r="S3" s="1384"/>
      <c r="T3" s="1384"/>
      <c r="U3" s="1384"/>
      <c r="V3" s="1384"/>
      <c r="W3" s="1398"/>
      <c r="X3" s="1397" t="s">
        <v>760</v>
      </c>
      <c r="Y3" s="1398"/>
      <c r="Z3" s="1397" t="s">
        <v>761</v>
      </c>
      <c r="AA3" s="1398"/>
      <c r="AB3" s="1383" t="s">
        <v>762</v>
      </c>
      <c r="AC3" s="1398"/>
    </row>
    <row r="4" spans="1:29" s="13" customFormat="1" ht="12" customHeight="1">
      <c r="A4" s="1399"/>
      <c r="B4" s="1385"/>
      <c r="C4" s="1399"/>
      <c r="D4" s="1385"/>
      <c r="E4" s="1399"/>
      <c r="F4" s="1385"/>
      <c r="G4" s="1399"/>
      <c r="H4" s="1385"/>
      <c r="I4" s="1399"/>
      <c r="J4" s="1385"/>
      <c r="K4" s="1399"/>
      <c r="L4" s="1397" t="s">
        <v>203</v>
      </c>
      <c r="M4" s="1398"/>
      <c r="N4" s="1397" t="s">
        <v>204</v>
      </c>
      <c r="O4" s="1398"/>
      <c r="P4" s="1385"/>
      <c r="Q4" s="1399"/>
      <c r="R4" s="1385"/>
      <c r="S4" s="1386"/>
      <c r="T4" s="1386"/>
      <c r="U4" s="1386"/>
      <c r="V4" s="1386"/>
      <c r="W4" s="1399"/>
      <c r="X4" s="1385"/>
      <c r="Y4" s="1399"/>
      <c r="Z4" s="1385"/>
      <c r="AA4" s="1399"/>
      <c r="AB4" s="1385"/>
      <c r="AC4" s="1399"/>
    </row>
    <row r="5" spans="1:29" s="19" customFormat="1" ht="12" customHeight="1">
      <c r="A5" s="1399"/>
      <c r="B5" s="1385"/>
      <c r="C5" s="1399"/>
      <c r="D5" s="1385"/>
      <c r="E5" s="1399"/>
      <c r="F5" s="1385"/>
      <c r="G5" s="1399"/>
      <c r="H5" s="1385"/>
      <c r="I5" s="1399"/>
      <c r="J5" s="1385"/>
      <c r="K5" s="1399"/>
      <c r="L5" s="1385"/>
      <c r="M5" s="1399"/>
      <c r="N5" s="1385"/>
      <c r="O5" s="1399"/>
      <c r="P5" s="1385"/>
      <c r="Q5" s="1399"/>
      <c r="R5" s="1385"/>
      <c r="S5" s="1386"/>
      <c r="T5" s="1386"/>
      <c r="U5" s="1386"/>
      <c r="V5" s="1386"/>
      <c r="W5" s="1399"/>
      <c r="X5" s="1385"/>
      <c r="Y5" s="1399"/>
      <c r="Z5" s="1385"/>
      <c r="AA5" s="1399"/>
      <c r="AB5" s="1385"/>
      <c r="AC5" s="1399"/>
    </row>
    <row r="6" spans="1:29" s="19" customFormat="1" ht="21" customHeight="1">
      <c r="A6" s="1400"/>
      <c r="B6" s="1387"/>
      <c r="C6" s="1400"/>
      <c r="D6" s="1387"/>
      <c r="E6" s="1400"/>
      <c r="F6" s="1387"/>
      <c r="G6" s="1400"/>
      <c r="H6" s="1387"/>
      <c r="I6" s="1400"/>
      <c r="J6" s="1387"/>
      <c r="K6" s="1400"/>
      <c r="L6" s="1387"/>
      <c r="M6" s="1400"/>
      <c r="N6" s="1387"/>
      <c r="O6" s="1400"/>
      <c r="P6" s="1387"/>
      <c r="Q6" s="1400"/>
      <c r="R6" s="1387"/>
      <c r="S6" s="1388"/>
      <c r="T6" s="1388"/>
      <c r="U6" s="1388"/>
      <c r="V6" s="1388"/>
      <c r="W6" s="1400"/>
      <c r="X6" s="1387"/>
      <c r="Y6" s="1400"/>
      <c r="Z6" s="1387"/>
      <c r="AA6" s="1400"/>
      <c r="AB6" s="1387"/>
      <c r="AC6" s="1400"/>
    </row>
    <row r="7" spans="1:29" s="19" customFormat="1" ht="12" customHeight="1">
      <c r="A7" s="480"/>
      <c r="B7" s="1386" t="s">
        <v>582</v>
      </c>
      <c r="C7" s="1386"/>
      <c r="D7" s="1386" t="s">
        <v>583</v>
      </c>
      <c r="E7" s="1386"/>
      <c r="F7" s="1386" t="s">
        <v>582</v>
      </c>
      <c r="G7" s="1386"/>
      <c r="H7" s="1386" t="s">
        <v>583</v>
      </c>
      <c r="I7" s="1386"/>
      <c r="J7" s="1386" t="s">
        <v>582</v>
      </c>
      <c r="K7" s="1386"/>
      <c r="L7" s="1386" t="s">
        <v>583</v>
      </c>
      <c r="M7" s="1386"/>
      <c r="N7" s="1386" t="s">
        <v>583</v>
      </c>
      <c r="O7" s="1386"/>
      <c r="P7" s="1386" t="s">
        <v>583</v>
      </c>
      <c r="Q7" s="1386"/>
      <c r="R7" s="1386" t="s">
        <v>582</v>
      </c>
      <c r="S7" s="1386"/>
      <c r="T7" s="1386" t="s">
        <v>137</v>
      </c>
      <c r="U7" s="1386"/>
      <c r="V7" s="1386" t="s">
        <v>584</v>
      </c>
      <c r="W7" s="1386"/>
      <c r="X7" s="1386" t="s">
        <v>585</v>
      </c>
      <c r="Y7" s="1386"/>
      <c r="Z7" s="1386" t="s">
        <v>205</v>
      </c>
      <c r="AA7" s="1386"/>
      <c r="AB7" s="1386" t="s">
        <v>585</v>
      </c>
      <c r="AC7" s="1386"/>
    </row>
    <row r="8" spans="1:29" s="19" customFormat="1" ht="12.75">
      <c r="A8" s="13" t="s">
        <v>83</v>
      </c>
      <c r="B8" s="382">
        <v>4.846585679226176</v>
      </c>
      <c r="C8" s="382"/>
      <c r="D8" s="382">
        <v>0</v>
      </c>
      <c r="E8" s="382"/>
      <c r="F8" s="382">
        <v>4.846585679226176</v>
      </c>
      <c r="G8" s="382"/>
      <c r="H8" s="382">
        <v>7</v>
      </c>
      <c r="I8" s="382"/>
      <c r="J8" s="382">
        <v>4.507324681680343</v>
      </c>
      <c r="K8" s="382"/>
      <c r="L8" s="382">
        <v>0</v>
      </c>
      <c r="M8" s="382"/>
      <c r="N8" s="382">
        <v>35</v>
      </c>
      <c r="O8" s="382"/>
      <c r="P8" s="293">
        <f>(1/100)*39.55</f>
        <v>0.39549999999999996</v>
      </c>
      <c r="Q8" s="382"/>
      <c r="R8" s="382">
        <v>2.929761043092223</v>
      </c>
      <c r="S8" s="382"/>
      <c r="T8" s="372">
        <v>0.12842788134102898</v>
      </c>
      <c r="U8" s="372"/>
      <c r="V8" s="372">
        <v>3.6408662220775008</v>
      </c>
      <c r="W8" s="372"/>
      <c r="X8" s="15">
        <v>9</v>
      </c>
      <c r="Y8" s="382"/>
      <c r="Z8" s="372">
        <v>2.9126929776620014</v>
      </c>
      <c r="AA8" s="372"/>
      <c r="AB8" s="15">
        <v>26.214236798958005</v>
      </c>
      <c r="AC8" s="13"/>
    </row>
    <row r="9" spans="1:29" s="19" customFormat="1" ht="12.75">
      <c r="A9" s="13" t="s">
        <v>764</v>
      </c>
      <c r="B9" s="382">
        <v>1.4651474293794693</v>
      </c>
      <c r="C9" s="382"/>
      <c r="D9" s="382">
        <v>0</v>
      </c>
      <c r="E9" s="382"/>
      <c r="F9" s="382">
        <v>1.4651474293794693</v>
      </c>
      <c r="G9" s="382"/>
      <c r="H9" s="382">
        <v>50</v>
      </c>
      <c r="I9" s="382"/>
      <c r="J9" s="382">
        <v>0.7325737146897346</v>
      </c>
      <c r="K9" s="382"/>
      <c r="L9" s="382">
        <v>0</v>
      </c>
      <c r="M9" s="382"/>
      <c r="N9" s="382">
        <v>35</v>
      </c>
      <c r="O9" s="382"/>
      <c r="P9" s="293">
        <f>(1/100)*67.5</f>
        <v>0.675</v>
      </c>
      <c r="Q9" s="382"/>
      <c r="R9" s="382">
        <v>0.4761729145483276</v>
      </c>
      <c r="S9" s="382"/>
      <c r="T9" s="372">
        <v>0.020873333240474634</v>
      </c>
      <c r="U9" s="372"/>
      <c r="V9" s="372">
        <v>0.5917485607008356</v>
      </c>
      <c r="W9" s="372"/>
      <c r="X9" s="15">
        <v>9</v>
      </c>
      <c r="Y9" s="382"/>
      <c r="Z9" s="372">
        <v>0.5917485607008356</v>
      </c>
      <c r="AA9" s="372"/>
      <c r="AB9" s="15">
        <v>5.325737046307521</v>
      </c>
      <c r="AC9" s="13"/>
    </row>
    <row r="10" spans="1:29" s="19" customFormat="1" ht="12.75">
      <c r="A10" s="13" t="s">
        <v>765</v>
      </c>
      <c r="B10" s="382">
        <v>2.747979767612776</v>
      </c>
      <c r="C10" s="382"/>
      <c r="D10" s="382">
        <v>0</v>
      </c>
      <c r="E10" s="382"/>
      <c r="F10" s="382">
        <v>2.747979767612776</v>
      </c>
      <c r="G10" s="382"/>
      <c r="H10" s="382">
        <v>50</v>
      </c>
      <c r="I10" s="382"/>
      <c r="J10" s="382">
        <v>1.373989883806388</v>
      </c>
      <c r="K10" s="382"/>
      <c r="L10" s="382">
        <v>0</v>
      </c>
      <c r="M10" s="382"/>
      <c r="N10" s="382">
        <v>35</v>
      </c>
      <c r="O10" s="382"/>
      <c r="P10" s="293">
        <f>(1/100)*67.5</f>
        <v>0.675</v>
      </c>
      <c r="Q10" s="382"/>
      <c r="R10" s="382">
        <v>0.893093424474152</v>
      </c>
      <c r="S10" s="382"/>
      <c r="T10" s="372">
        <v>0.03914930079886694</v>
      </c>
      <c r="U10" s="372"/>
      <c r="V10" s="372">
        <v>1.1098631029974784</v>
      </c>
      <c r="W10" s="372"/>
      <c r="X10" s="15">
        <v>9</v>
      </c>
      <c r="Y10" s="382"/>
      <c r="Z10" s="372">
        <v>1.1098631029974784</v>
      </c>
      <c r="AA10" s="372"/>
      <c r="AB10" s="15">
        <v>9.988767926977305</v>
      </c>
      <c r="AC10" s="13"/>
    </row>
    <row r="11" spans="1:29" s="19" customFormat="1" ht="12.75">
      <c r="A11" s="13" t="s">
        <v>964</v>
      </c>
      <c r="B11" s="382"/>
      <c r="C11" s="382"/>
      <c r="D11" s="382"/>
      <c r="E11" s="382"/>
      <c r="F11" s="382"/>
      <c r="G11" s="382"/>
      <c r="H11" s="382"/>
      <c r="I11" s="382"/>
      <c r="J11" s="382"/>
      <c r="K11" s="382"/>
      <c r="L11" s="382"/>
      <c r="M11" s="382"/>
      <c r="N11" s="382"/>
      <c r="O11" s="382"/>
      <c r="P11" s="293"/>
      <c r="Q11" s="382"/>
      <c r="R11" s="382"/>
      <c r="S11" s="382"/>
      <c r="T11" s="372"/>
      <c r="U11" s="372"/>
      <c r="V11" s="372"/>
      <c r="W11" s="372"/>
      <c r="X11" s="15"/>
      <c r="Y11" s="382"/>
      <c r="Z11" s="372"/>
      <c r="AA11" s="372"/>
      <c r="AB11" s="15"/>
      <c r="AC11" s="13"/>
    </row>
    <row r="12" spans="1:29" s="19" customFormat="1" ht="12.75">
      <c r="A12" s="13"/>
      <c r="B12" s="382"/>
      <c r="C12" s="382"/>
      <c r="D12" s="382"/>
      <c r="E12" s="382"/>
      <c r="F12" s="382"/>
      <c r="G12" s="382"/>
      <c r="H12" s="382"/>
      <c r="I12" s="382"/>
      <c r="J12" s="382"/>
      <c r="K12" s="382"/>
      <c r="L12" s="382"/>
      <c r="M12" s="382"/>
      <c r="N12" s="382"/>
      <c r="O12" s="382"/>
      <c r="P12" s="293"/>
      <c r="Q12" s="382"/>
      <c r="R12" s="382"/>
      <c r="S12" s="382"/>
      <c r="T12" s="372"/>
      <c r="U12" s="372"/>
      <c r="V12" s="372"/>
      <c r="W12" s="372"/>
      <c r="X12" s="15"/>
      <c r="Y12" s="382"/>
      <c r="Z12" s="372"/>
      <c r="AA12" s="372"/>
      <c r="AB12" s="15"/>
      <c r="AC12" s="13"/>
    </row>
    <row r="13" spans="1:29" s="19" customFormat="1" ht="12.75">
      <c r="A13" s="13" t="s">
        <v>763</v>
      </c>
      <c r="B13" s="382">
        <v>4.094467569405888</v>
      </c>
      <c r="C13" s="382"/>
      <c r="D13" s="382">
        <v>0</v>
      </c>
      <c r="E13" s="382"/>
      <c r="F13" s="382">
        <v>4.094467569405888</v>
      </c>
      <c r="G13" s="382"/>
      <c r="H13" s="382">
        <v>7</v>
      </c>
      <c r="I13" s="382"/>
      <c r="J13" s="382">
        <v>3.8078548395474754</v>
      </c>
      <c r="K13" s="382"/>
      <c r="L13" s="382">
        <v>0</v>
      </c>
      <c r="M13" s="382"/>
      <c r="N13" s="382">
        <v>35</v>
      </c>
      <c r="O13" s="382"/>
      <c r="P13" s="293">
        <f>(1/100)*39.55</f>
        <v>0.39549999999999996</v>
      </c>
      <c r="Q13" s="382"/>
      <c r="R13" s="382">
        <v>2.4751056457058587</v>
      </c>
      <c r="S13" s="382"/>
      <c r="T13" s="372">
        <v>0.10849778172957189</v>
      </c>
      <c r="U13" s="372"/>
      <c r="V13" s="372">
        <v>3.0758578631424984</v>
      </c>
      <c r="W13" s="372"/>
      <c r="X13" s="15">
        <v>9</v>
      </c>
      <c r="Y13" s="382"/>
      <c r="Z13" s="372">
        <v>1.845514717885499</v>
      </c>
      <c r="AA13" s="372"/>
      <c r="AB13" s="15">
        <v>16.609632460969486</v>
      </c>
      <c r="AC13" s="13"/>
    </row>
    <row r="14" spans="1:29" s="19" customFormat="1" ht="12.75">
      <c r="A14" s="13" t="s">
        <v>766</v>
      </c>
      <c r="B14" s="382">
        <v>19.00818753250082</v>
      </c>
      <c r="C14" s="382"/>
      <c r="D14" s="382">
        <v>0</v>
      </c>
      <c r="E14" s="382"/>
      <c r="F14" s="382">
        <v>19.00818753250082</v>
      </c>
      <c r="G14" s="382"/>
      <c r="H14" s="382">
        <v>21</v>
      </c>
      <c r="I14" s="382"/>
      <c r="J14" s="382">
        <v>15.01646815067565</v>
      </c>
      <c r="K14" s="382"/>
      <c r="L14" s="382">
        <v>0</v>
      </c>
      <c r="M14" s="382"/>
      <c r="N14" s="382">
        <v>35</v>
      </c>
      <c r="O14" s="382"/>
      <c r="P14" s="293">
        <f>(1/100)*48.65</f>
        <v>0.4865</v>
      </c>
      <c r="Q14" s="382"/>
      <c r="R14" s="382">
        <v>9.76070429793917</v>
      </c>
      <c r="S14" s="382"/>
      <c r="T14" s="372">
        <v>0.42786648977267605</v>
      </c>
      <c r="U14" s="372"/>
      <c r="V14" s="372">
        <v>12.129801051810478</v>
      </c>
      <c r="W14" s="372"/>
      <c r="X14" s="15">
        <v>9</v>
      </c>
      <c r="Y14" s="382"/>
      <c r="Z14" s="372">
        <v>12.129801051810478</v>
      </c>
      <c r="AA14" s="372"/>
      <c r="AB14" s="15">
        <v>109.16820946629431</v>
      </c>
      <c r="AC14" s="13"/>
    </row>
    <row r="15" spans="1:29" s="19" customFormat="1" ht="12.75">
      <c r="A15" s="13" t="s">
        <v>767</v>
      </c>
      <c r="B15" s="382">
        <v>50.67757749231286</v>
      </c>
      <c r="C15" s="382"/>
      <c r="D15" s="382">
        <v>0</v>
      </c>
      <c r="E15" s="382"/>
      <c r="F15" s="382">
        <v>50.67757749231286</v>
      </c>
      <c r="G15" s="382"/>
      <c r="H15" s="382">
        <v>21</v>
      </c>
      <c r="I15" s="382"/>
      <c r="J15" s="382">
        <v>40.035286218927155</v>
      </c>
      <c r="K15" s="382"/>
      <c r="L15" s="382">
        <v>0</v>
      </c>
      <c r="M15" s="382"/>
      <c r="N15" s="382">
        <v>15</v>
      </c>
      <c r="O15" s="382"/>
      <c r="P15" s="293">
        <f>(1/100)*32.85</f>
        <v>0.3285</v>
      </c>
      <c r="Q15" s="382"/>
      <c r="R15" s="382">
        <v>34.02999328608808</v>
      </c>
      <c r="S15" s="382"/>
      <c r="T15" s="372">
        <v>1.4917257330887925</v>
      </c>
      <c r="U15" s="372"/>
      <c r="V15" s="372">
        <v>42.28967867020073</v>
      </c>
      <c r="W15" s="372"/>
      <c r="X15" s="15">
        <v>9</v>
      </c>
      <c r="Y15" s="382"/>
      <c r="Z15" s="372">
        <v>42.28967867020073</v>
      </c>
      <c r="AA15" s="372"/>
      <c r="AB15" s="15">
        <v>380.6071080318065</v>
      </c>
      <c r="AC15" s="13"/>
    </row>
    <row r="16" spans="1:29" s="19" customFormat="1" ht="12.75">
      <c r="A16" s="499" t="s">
        <v>768</v>
      </c>
      <c r="B16" s="382">
        <v>1.7658463966996376</v>
      </c>
      <c r="C16" s="382"/>
      <c r="D16" s="382">
        <v>0</v>
      </c>
      <c r="E16" s="382"/>
      <c r="F16" s="382">
        <v>1.7658463966996376</v>
      </c>
      <c r="G16" s="382"/>
      <c r="H16" s="382">
        <v>5</v>
      </c>
      <c r="I16" s="382"/>
      <c r="J16" s="382">
        <v>1.6775540768646557</v>
      </c>
      <c r="K16" s="382"/>
      <c r="L16" s="382">
        <v>0</v>
      </c>
      <c r="M16" s="382"/>
      <c r="N16" s="382">
        <v>25</v>
      </c>
      <c r="O16" s="382"/>
      <c r="P16" s="293">
        <f>(1/100)*28.75</f>
        <v>0.28750000000000003</v>
      </c>
      <c r="Q16" s="382"/>
      <c r="R16" s="382">
        <v>1.2581655576484918</v>
      </c>
      <c r="S16" s="382"/>
      <c r="T16" s="372">
        <v>0.05515246280102978</v>
      </c>
      <c r="U16" s="372"/>
      <c r="V16" s="372">
        <v>1.5635447441777937</v>
      </c>
      <c r="W16" s="372"/>
      <c r="X16" s="15">
        <v>9</v>
      </c>
      <c r="Y16" s="382"/>
      <c r="Z16" s="372">
        <v>1.5635447441777937</v>
      </c>
      <c r="AA16" s="372"/>
      <c r="AB16" s="15">
        <v>14.071902697600143</v>
      </c>
      <c r="AC16" s="13"/>
    </row>
    <row r="17" spans="1:29" s="188" customFormat="1" ht="12.75">
      <c r="A17" s="275" t="s">
        <v>963</v>
      </c>
      <c r="B17" s="500">
        <f>SUM(B13:B16)</f>
        <v>75.54607899091921</v>
      </c>
      <c r="C17" s="500"/>
      <c r="D17" s="500"/>
      <c r="E17" s="500"/>
      <c r="F17" s="500"/>
      <c r="G17" s="500"/>
      <c r="H17" s="500"/>
      <c r="I17" s="500"/>
      <c r="J17" s="500"/>
      <c r="K17" s="500"/>
      <c r="L17" s="500"/>
      <c r="M17" s="500"/>
      <c r="N17" s="500"/>
      <c r="O17" s="500"/>
      <c r="P17" s="501">
        <f>-((R17/B17)-1)</f>
        <v>0.3709273939539063</v>
      </c>
      <c r="Q17" s="500"/>
      <c r="R17" s="500">
        <f>SUM(R13:R16)</f>
        <v>47.5239687873816</v>
      </c>
      <c r="S17" s="500"/>
      <c r="T17" s="500">
        <f>SUM(T13:T16)</f>
        <v>2.08324246739207</v>
      </c>
      <c r="U17" s="502"/>
      <c r="V17" s="500">
        <f>SUM(V13:V16)</f>
        <v>59.0588823293315</v>
      </c>
      <c r="W17" s="502"/>
      <c r="X17" s="500">
        <v>9</v>
      </c>
      <c r="Y17" s="500"/>
      <c r="Z17" s="502">
        <f>SUM(Z13:Z16)</f>
        <v>57.8285391840745</v>
      </c>
      <c r="AA17" s="502"/>
      <c r="AB17" s="324">
        <f>SUM(AB13:AB16)</f>
        <v>520.4568526566704</v>
      </c>
      <c r="AC17" s="275"/>
    </row>
    <row r="18" spans="1:29" s="188" customFormat="1" ht="12.75">
      <c r="A18" s="46"/>
      <c r="B18" s="503"/>
      <c r="C18" s="503"/>
      <c r="D18" s="503"/>
      <c r="E18" s="503"/>
      <c r="F18" s="503"/>
      <c r="G18" s="503"/>
      <c r="H18" s="503"/>
      <c r="I18" s="503"/>
      <c r="J18" s="503"/>
      <c r="K18" s="503"/>
      <c r="L18" s="503"/>
      <c r="M18" s="503"/>
      <c r="N18" s="503"/>
      <c r="O18" s="503"/>
      <c r="P18" s="489"/>
      <c r="Q18" s="503"/>
      <c r="R18" s="503"/>
      <c r="S18" s="503"/>
      <c r="T18" s="503"/>
      <c r="U18" s="503"/>
      <c r="V18" s="503"/>
      <c r="W18" s="503"/>
      <c r="X18" s="182"/>
      <c r="Y18" s="503"/>
      <c r="Z18" s="216"/>
      <c r="AA18" s="216"/>
      <c r="AB18" s="182"/>
      <c r="AC18" s="46"/>
    </row>
    <row r="19" spans="1:29" s="188" customFormat="1" ht="12.75">
      <c r="A19" s="46" t="s">
        <v>737</v>
      </c>
      <c r="B19" s="503">
        <v>3.5031296612798193</v>
      </c>
      <c r="C19" s="503"/>
      <c r="D19" s="503">
        <v>0</v>
      </c>
      <c r="E19" s="503"/>
      <c r="F19" s="503">
        <v>3.5031296612798193</v>
      </c>
      <c r="G19" s="503"/>
      <c r="H19" s="503">
        <v>12</v>
      </c>
      <c r="I19" s="503"/>
      <c r="J19" s="503">
        <v>3.082754101926241</v>
      </c>
      <c r="K19" s="503"/>
      <c r="L19" s="503">
        <v>0</v>
      </c>
      <c r="M19" s="503"/>
      <c r="N19" s="503">
        <v>12</v>
      </c>
      <c r="O19" s="503"/>
      <c r="P19" s="489">
        <f>(1/100)*22.56</f>
        <v>0.2256</v>
      </c>
      <c r="Q19" s="503"/>
      <c r="R19" s="503">
        <v>2.712823609695092</v>
      </c>
      <c r="S19" s="503"/>
      <c r="T19" s="216">
        <v>0.11891829521951089</v>
      </c>
      <c r="U19" s="216"/>
      <c r="V19" s="216">
        <v>3.3712742103255238</v>
      </c>
      <c r="W19" s="503"/>
      <c r="X19" s="182">
        <v>9</v>
      </c>
      <c r="Y19" s="503"/>
      <c r="Z19" s="216">
        <v>0.38769653418743527</v>
      </c>
      <c r="AA19" s="216"/>
      <c r="AB19" s="182">
        <v>3.489268807686918</v>
      </c>
      <c r="AC19" s="46"/>
    </row>
    <row r="20" spans="1:29" s="188" customFormat="1" ht="12.75">
      <c r="A20" s="46" t="s">
        <v>769</v>
      </c>
      <c r="B20" s="503">
        <v>8.041294337763713</v>
      </c>
      <c r="C20" s="503"/>
      <c r="D20" s="503">
        <v>0</v>
      </c>
      <c r="E20" s="503"/>
      <c r="F20" s="503">
        <v>8.041294337763713</v>
      </c>
      <c r="G20" s="503"/>
      <c r="H20" s="503">
        <v>12</v>
      </c>
      <c r="I20" s="503"/>
      <c r="J20" s="503">
        <v>7.076339017232068</v>
      </c>
      <c r="K20" s="503"/>
      <c r="L20" s="503">
        <v>0</v>
      </c>
      <c r="M20" s="503"/>
      <c r="N20" s="503">
        <v>12</v>
      </c>
      <c r="O20" s="503"/>
      <c r="P20" s="489">
        <f>(1/100)*22.56</f>
        <v>0.2256</v>
      </c>
      <c r="Q20" s="503"/>
      <c r="R20" s="503">
        <v>6.22717833516422</v>
      </c>
      <c r="S20" s="503"/>
      <c r="T20" s="216">
        <v>0.27297220099350006</v>
      </c>
      <c r="U20" s="216"/>
      <c r="V20" s="216">
        <v>7.73862541206523</v>
      </c>
      <c r="W20" s="503"/>
      <c r="X20" s="182">
        <v>9</v>
      </c>
      <c r="Y20" s="503"/>
      <c r="Z20" s="216">
        <v>1.4935547045285893</v>
      </c>
      <c r="AA20" s="216"/>
      <c r="AB20" s="182">
        <v>13.441992340757304</v>
      </c>
      <c r="AC20" s="46"/>
    </row>
    <row r="21" spans="1:29" s="188" customFormat="1" ht="12.75">
      <c r="A21" s="46" t="s">
        <v>770</v>
      </c>
      <c r="B21" s="503">
        <v>2.225929539161773</v>
      </c>
      <c r="C21" s="503"/>
      <c r="D21" s="503">
        <v>0</v>
      </c>
      <c r="E21" s="503"/>
      <c r="F21" s="503">
        <v>2.225929539161773</v>
      </c>
      <c r="G21" s="503"/>
      <c r="H21" s="503">
        <v>12</v>
      </c>
      <c r="I21" s="503"/>
      <c r="J21" s="503">
        <v>1.9588179944623605</v>
      </c>
      <c r="K21" s="503"/>
      <c r="L21" s="503">
        <v>0</v>
      </c>
      <c r="M21" s="503"/>
      <c r="N21" s="503">
        <v>12</v>
      </c>
      <c r="O21" s="503"/>
      <c r="P21" s="489">
        <f>(1/100)*22.56</f>
        <v>0.2256</v>
      </c>
      <c r="Q21" s="503"/>
      <c r="R21" s="503">
        <v>1.7237598351268772</v>
      </c>
      <c r="S21" s="503"/>
      <c r="T21" s="216">
        <v>0.07556207496446585</v>
      </c>
      <c r="U21" s="216"/>
      <c r="V21" s="216">
        <v>2.1421470442051245</v>
      </c>
      <c r="W21" s="503"/>
      <c r="X21" s="182">
        <v>9</v>
      </c>
      <c r="Y21" s="503"/>
      <c r="Z21" s="216">
        <v>0.792594406355896</v>
      </c>
      <c r="AA21" s="216"/>
      <c r="AB21" s="182">
        <v>7.133349657203064</v>
      </c>
      <c r="AC21" s="46"/>
    </row>
    <row r="22" spans="1:29" s="188" customFormat="1" ht="12.75">
      <c r="A22" s="46" t="s">
        <v>771</v>
      </c>
      <c r="B22" s="503">
        <v>4.198152326534483</v>
      </c>
      <c r="C22" s="503"/>
      <c r="D22" s="503">
        <v>0</v>
      </c>
      <c r="E22" s="503"/>
      <c r="F22" s="503">
        <v>4.198152326534483</v>
      </c>
      <c r="G22" s="503"/>
      <c r="H22" s="503">
        <v>12</v>
      </c>
      <c r="I22" s="503"/>
      <c r="J22" s="503">
        <v>3.6943740473503452</v>
      </c>
      <c r="K22" s="503"/>
      <c r="L22" s="503">
        <v>0</v>
      </c>
      <c r="M22" s="503"/>
      <c r="N22" s="503">
        <v>8</v>
      </c>
      <c r="O22" s="503"/>
      <c r="P22" s="489">
        <f>(1/100)*19.04</f>
        <v>0.19039999999999999</v>
      </c>
      <c r="Q22" s="503"/>
      <c r="R22" s="503">
        <v>3.398824123562318</v>
      </c>
      <c r="S22" s="503"/>
      <c r="T22" s="216">
        <v>0.14898955062190983</v>
      </c>
      <c r="U22" s="216"/>
      <c r="V22" s="216">
        <v>4.223779265355832</v>
      </c>
      <c r="W22" s="503"/>
      <c r="X22" s="182">
        <v>9</v>
      </c>
      <c r="Y22" s="503"/>
      <c r="Z22" s="216">
        <v>0.7908815485415528</v>
      </c>
      <c r="AA22" s="216"/>
      <c r="AB22" s="182">
        <v>7.1179339368739765</v>
      </c>
      <c r="AC22" s="46"/>
    </row>
    <row r="23" spans="1:29" s="188" customFormat="1" ht="12.75">
      <c r="A23" s="46" t="s">
        <v>772</v>
      </c>
      <c r="B23" s="503">
        <v>2.5038895980938305</v>
      </c>
      <c r="C23" s="503"/>
      <c r="D23" s="503">
        <v>0</v>
      </c>
      <c r="E23" s="503"/>
      <c r="F23" s="503">
        <v>2.5038895980938305</v>
      </c>
      <c r="G23" s="503"/>
      <c r="H23" s="503">
        <v>12</v>
      </c>
      <c r="I23" s="503"/>
      <c r="J23" s="503">
        <v>2.2034228463225705</v>
      </c>
      <c r="K23" s="503"/>
      <c r="L23" s="503">
        <v>0</v>
      </c>
      <c r="M23" s="503"/>
      <c r="N23" s="503">
        <v>13</v>
      </c>
      <c r="O23" s="503"/>
      <c r="P23" s="489">
        <f>(1/100)*23.44</f>
        <v>0.23440000000000003</v>
      </c>
      <c r="Q23" s="503"/>
      <c r="R23" s="503">
        <v>1.9169778763006362</v>
      </c>
      <c r="S23" s="503"/>
      <c r="T23" s="216">
        <v>0.08403190690632927</v>
      </c>
      <c r="U23" s="216"/>
      <c r="V23" s="216">
        <v>2.382262544840981</v>
      </c>
      <c r="W23" s="503"/>
      <c r="X23" s="182">
        <v>9</v>
      </c>
      <c r="Y23" s="503"/>
      <c r="Z23" s="216">
        <v>0.7462103904958096</v>
      </c>
      <c r="AA23" s="216"/>
      <c r="AB23" s="182">
        <v>6.715893514462287</v>
      </c>
      <c r="AC23" s="46"/>
    </row>
    <row r="24" spans="1:29" s="188" customFormat="1" ht="12.75">
      <c r="A24" s="46" t="s">
        <v>773</v>
      </c>
      <c r="B24" s="503">
        <v>0.41630024375469504</v>
      </c>
      <c r="C24" s="503"/>
      <c r="D24" s="503">
        <v>32.8</v>
      </c>
      <c r="E24" s="503"/>
      <c r="F24" s="503">
        <v>0.279753763803155</v>
      </c>
      <c r="G24" s="503"/>
      <c r="H24" s="503">
        <v>12</v>
      </c>
      <c r="I24" s="503"/>
      <c r="J24" s="503">
        <v>0.2461833121467764</v>
      </c>
      <c r="K24" s="503"/>
      <c r="L24" s="503">
        <v>0</v>
      </c>
      <c r="M24" s="503"/>
      <c r="N24" s="503">
        <v>51</v>
      </c>
      <c r="O24" s="503"/>
      <c r="P24" s="489">
        <f>(1/100)*71.02336</f>
        <v>0.7102336</v>
      </c>
      <c r="Q24" s="503"/>
      <c r="R24" s="503">
        <v>0.12062982295192044</v>
      </c>
      <c r="S24" s="503"/>
      <c r="T24" s="216">
        <v>0.0052878826499471974</v>
      </c>
      <c r="U24" s="216"/>
      <c r="V24" s="216">
        <v>0.14990882918467807</v>
      </c>
      <c r="W24" s="503"/>
      <c r="X24" s="182">
        <v>9</v>
      </c>
      <c r="Y24" s="503"/>
      <c r="Z24" s="216">
        <v>0.01121318042301392</v>
      </c>
      <c r="AA24" s="216"/>
      <c r="AB24" s="182">
        <v>0.10091862380712528</v>
      </c>
      <c r="AC24" s="46"/>
    </row>
    <row r="25" spans="1:29" s="188" customFormat="1" ht="12.75">
      <c r="A25" s="275" t="s">
        <v>774</v>
      </c>
      <c r="B25" s="500">
        <v>15.159636506146722</v>
      </c>
      <c r="C25" s="500"/>
      <c r="D25" s="500"/>
      <c r="E25" s="500"/>
      <c r="F25" s="500">
        <v>15.023090026195183</v>
      </c>
      <c r="G25" s="500"/>
      <c r="H25" s="500"/>
      <c r="I25" s="500"/>
      <c r="J25" s="500">
        <v>13.220319223051764</v>
      </c>
      <c r="K25" s="500"/>
      <c r="L25" s="500"/>
      <c r="M25" s="500"/>
      <c r="N25" s="500"/>
      <c r="O25" s="500"/>
      <c r="P25" s="501">
        <f>(1/100)*23.0620365244558</f>
        <v>0.23062036524455798</v>
      </c>
      <c r="Q25" s="500"/>
      <c r="R25" s="500">
        <v>11.663610157979095</v>
      </c>
      <c r="S25" s="500"/>
      <c r="T25" s="502">
        <v>0.5112815411716862</v>
      </c>
      <c r="U25" s="502"/>
      <c r="V25" s="502">
        <v>14.494576051446723</v>
      </c>
      <c r="W25" s="500"/>
      <c r="X25" s="324">
        <v>9</v>
      </c>
      <c r="Y25" s="500"/>
      <c r="Z25" s="502">
        <v>3.0418598239889656</v>
      </c>
      <c r="AA25" s="502"/>
      <c r="AB25" s="324">
        <v>27.37673841590069</v>
      </c>
      <c r="AC25" s="275"/>
    </row>
    <row r="26" spans="1:29" s="19" customFormat="1" ht="13.5" thickBot="1">
      <c r="A26" s="13"/>
      <c r="B26" s="382"/>
      <c r="C26" s="382"/>
      <c r="D26" s="382"/>
      <c r="E26" s="382"/>
      <c r="F26" s="382"/>
      <c r="G26" s="382"/>
      <c r="H26" s="382"/>
      <c r="I26" s="382"/>
      <c r="J26" s="382"/>
      <c r="K26" s="382"/>
      <c r="L26" s="382"/>
      <c r="M26" s="382"/>
      <c r="N26" s="382"/>
      <c r="O26" s="382"/>
      <c r="P26" s="293"/>
      <c r="Q26" s="382"/>
      <c r="R26" s="382"/>
      <c r="S26" s="382"/>
      <c r="T26" s="382"/>
      <c r="U26" s="382"/>
      <c r="V26" s="382"/>
      <c r="W26" s="382"/>
      <c r="X26" s="382"/>
      <c r="Y26" s="382"/>
      <c r="Z26" s="382"/>
      <c r="AA26" s="382"/>
      <c r="AB26" s="382"/>
      <c r="AC26" s="13"/>
    </row>
    <row r="27" spans="1:29" s="188" customFormat="1" ht="13.5" thickBot="1">
      <c r="A27" s="504" t="s">
        <v>775</v>
      </c>
      <c r="B27" s="505">
        <v>99.76542837328435</v>
      </c>
      <c r="C27" s="505"/>
      <c r="D27" s="505"/>
      <c r="E27" s="505"/>
      <c r="F27" s="505">
        <v>99.6288818933328</v>
      </c>
      <c r="G27" s="505"/>
      <c r="H27" s="505"/>
      <c r="I27" s="505"/>
      <c r="J27" s="505">
        <v>80.37137078924317</v>
      </c>
      <c r="K27" s="505"/>
      <c r="L27" s="505"/>
      <c r="M27" s="505"/>
      <c r="N27" s="505"/>
      <c r="O27" s="505"/>
      <c r="P27" s="506">
        <f>(1/100)*36.3464109241431</f>
        <v>0.363464109241431</v>
      </c>
      <c r="Q27" s="505"/>
      <c r="R27" s="505">
        <v>63.4866063274754</v>
      </c>
      <c r="S27" s="505"/>
      <c r="T27" s="505">
        <v>2.7829745239441275</v>
      </c>
      <c r="U27" s="505"/>
      <c r="V27" s="505">
        <v>78.89593626655403</v>
      </c>
      <c r="W27" s="505"/>
      <c r="X27" s="505"/>
      <c r="Y27" s="505"/>
      <c r="Z27" s="505">
        <v>65.48470364942378</v>
      </c>
      <c r="AA27" s="505"/>
      <c r="AB27" s="507">
        <v>589.3623328448141</v>
      </c>
      <c r="AC27" s="508"/>
    </row>
    <row r="28" spans="1:29" s="4" customFormat="1" ht="12.75">
      <c r="A28"/>
      <c r="B28"/>
      <c r="C28"/>
      <c r="D28"/>
      <c r="E28"/>
      <c r="F28"/>
      <c r="G28"/>
      <c r="H28"/>
      <c r="I28"/>
      <c r="J28"/>
      <c r="K28"/>
      <c r="L28"/>
      <c r="M28"/>
      <c r="N28"/>
      <c r="O28"/>
      <c r="P28"/>
      <c r="Q28"/>
      <c r="R28"/>
      <c r="S28"/>
      <c r="T28"/>
      <c r="U28"/>
      <c r="V28"/>
      <c r="W28"/>
      <c r="X28"/>
      <c r="Y28"/>
      <c r="Z28"/>
      <c r="AA28"/>
      <c r="AB28"/>
      <c r="AC28"/>
    </row>
  </sheetData>
  <sheetProtection/>
  <mergeCells count="28">
    <mergeCell ref="A3:A6"/>
    <mergeCell ref="B3:C6"/>
    <mergeCell ref="D3:E6"/>
    <mergeCell ref="F3:G6"/>
    <mergeCell ref="H3:I6"/>
    <mergeCell ref="J3:K6"/>
    <mergeCell ref="L3:O3"/>
    <mergeCell ref="P3:Q6"/>
    <mergeCell ref="R3:W6"/>
    <mergeCell ref="X3:Y6"/>
    <mergeCell ref="Z3:AA6"/>
    <mergeCell ref="AB3:AC6"/>
    <mergeCell ref="L4:M6"/>
    <mergeCell ref="N4:O6"/>
    <mergeCell ref="B7:C7"/>
    <mergeCell ref="D7:E7"/>
    <mergeCell ref="F7:G7"/>
    <mergeCell ref="H7:I7"/>
    <mergeCell ref="J7:K7"/>
    <mergeCell ref="L7:M7"/>
    <mergeCell ref="Z7:AA7"/>
    <mergeCell ref="AB7:AC7"/>
    <mergeCell ref="N7:O7"/>
    <mergeCell ref="P7:Q7"/>
    <mergeCell ref="R7:S7"/>
    <mergeCell ref="T7:U7"/>
    <mergeCell ref="V7:W7"/>
    <mergeCell ref="X7:Y7"/>
  </mergeCells>
  <printOptions/>
  <pageMargins left="0.7" right="0.7" top="0.75" bottom="0.75" header="0.3" footer="0.3"/>
  <pageSetup orientation="portrait" paperSize="9"/>
  <legacyDrawing r:id="rId2"/>
</worksheet>
</file>

<file path=xl/worksheets/sheet29.xml><?xml version="1.0" encoding="utf-8"?>
<worksheet xmlns="http://schemas.openxmlformats.org/spreadsheetml/2006/main" xmlns:r="http://schemas.openxmlformats.org/officeDocument/2006/relationships">
  <dimension ref="A1:I14"/>
  <sheetViews>
    <sheetView zoomScalePageLayoutView="0" workbookViewId="0" topLeftCell="A1">
      <selection activeCell="I7" sqref="I7"/>
    </sheetView>
  </sheetViews>
  <sheetFormatPr defaultColWidth="8.8515625" defaultRowHeight="12.75"/>
  <cols>
    <col min="1" max="1" width="8.8515625" style="0" customWidth="1"/>
    <col min="2" max="6" width="11.421875" style="0" bestFit="1" customWidth="1"/>
  </cols>
  <sheetData>
    <row r="1" ht="18">
      <c r="A1" s="412" t="s">
        <v>1321</v>
      </c>
    </row>
    <row r="2" s="13" customFormat="1" ht="12.75"/>
    <row r="3" s="13" customFormat="1" ht="12.75"/>
    <row r="4" spans="1:7" s="13" customFormat="1" ht="12.75" customHeight="1">
      <c r="A4" s="8"/>
      <c r="B4" s="1351" t="s">
        <v>190</v>
      </c>
      <c r="C4" s="1351"/>
      <c r="D4" s="1351"/>
      <c r="E4" s="1351"/>
      <c r="F4" s="1351"/>
      <c r="G4" s="1351"/>
    </row>
    <row r="5" spans="2:7" ht="12.75">
      <c r="B5" s="174">
        <v>2008</v>
      </c>
      <c r="C5" s="174">
        <v>2009</v>
      </c>
      <c r="D5" s="174">
        <v>2010</v>
      </c>
      <c r="E5" s="174">
        <v>2011</v>
      </c>
      <c r="F5" s="174">
        <v>2012</v>
      </c>
      <c r="G5" s="347" t="s">
        <v>1232</v>
      </c>
    </row>
    <row r="6" spans="2:9" ht="12.75">
      <c r="B6" s="347" t="s">
        <v>170</v>
      </c>
      <c r="C6" s="347" t="s">
        <v>170</v>
      </c>
      <c r="D6" s="347" t="s">
        <v>170</v>
      </c>
      <c r="E6" s="347" t="s">
        <v>170</v>
      </c>
      <c r="F6" s="347" t="s">
        <v>170</v>
      </c>
      <c r="G6" s="347" t="s">
        <v>170</v>
      </c>
      <c r="I6" s="811" t="s">
        <v>1235</v>
      </c>
    </row>
    <row r="7" spans="1:9" ht="12.75">
      <c r="A7" t="s">
        <v>1322</v>
      </c>
      <c r="B7" s="14">
        <f>60*39.7</f>
        <v>2382</v>
      </c>
      <c r="C7" s="14">
        <f>60*44</f>
        <v>2640</v>
      </c>
      <c r="D7" s="14">
        <f>60*43.5</f>
        <v>2610</v>
      </c>
      <c r="E7" s="14">
        <f>60*41.9</f>
        <v>2514</v>
      </c>
      <c r="F7" s="14">
        <f>60*39.8</f>
        <v>2388</v>
      </c>
      <c r="G7" s="234">
        <f>AVERAGE(B7:F7)</f>
        <v>2506.8</v>
      </c>
      <c r="I7" s="13" t="s">
        <v>1323</v>
      </c>
    </row>
    <row r="8" spans="1:9" ht="12.75">
      <c r="A8" t="s">
        <v>962</v>
      </c>
      <c r="B8" s="14">
        <v>1461</v>
      </c>
      <c r="C8" s="14">
        <v>1811</v>
      </c>
      <c r="D8" s="14">
        <v>1713</v>
      </c>
      <c r="E8" s="14">
        <v>1475</v>
      </c>
      <c r="F8" s="14">
        <v>1416</v>
      </c>
      <c r="G8" s="234">
        <f>AVERAGE(B8:F8)</f>
        <v>1575.2</v>
      </c>
      <c r="I8" t="s">
        <v>1323</v>
      </c>
    </row>
    <row r="10" spans="2:3" ht="12.75">
      <c r="B10" s="13"/>
      <c r="C10" s="13"/>
    </row>
    <row r="13" spans="2:3" ht="12.75">
      <c r="B13" s="13"/>
      <c r="C13" s="13"/>
    </row>
    <row r="14" ht="12.75">
      <c r="C14" s="13"/>
    </row>
  </sheetData>
  <sheetProtection/>
  <mergeCells count="1">
    <mergeCell ref="B4: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69"/>
  <sheetViews>
    <sheetView zoomScalePageLayoutView="0" workbookViewId="0" topLeftCell="A13">
      <selection activeCell="O66" sqref="O66"/>
    </sheetView>
  </sheetViews>
  <sheetFormatPr defaultColWidth="8.8515625" defaultRowHeight="12.75"/>
  <cols>
    <col min="1" max="1" width="15.8515625" style="0" customWidth="1"/>
    <col min="2" max="2" width="7.421875" style="0" customWidth="1"/>
    <col min="3" max="3" width="9.00390625" style="0" customWidth="1"/>
    <col min="4" max="5" width="8.8515625" style="0" customWidth="1"/>
    <col min="6" max="6" width="3.00390625" style="0" customWidth="1"/>
    <col min="7" max="9" width="8.8515625" style="0" customWidth="1"/>
    <col min="10" max="10" width="19.7109375" style="0" customWidth="1"/>
  </cols>
  <sheetData>
    <row r="1" ht="15.75">
      <c r="A1" s="609" t="s">
        <v>1245</v>
      </c>
    </row>
    <row r="2" ht="12.75">
      <c r="A2" s="33" t="s">
        <v>1246</v>
      </c>
    </row>
    <row r="4" spans="2:5" ht="12.75">
      <c r="B4" s="13"/>
      <c r="C4" s="13" t="s">
        <v>283</v>
      </c>
      <c r="D4" t="s">
        <v>284</v>
      </c>
      <c r="E4" t="s">
        <v>121</v>
      </c>
    </row>
    <row r="5" spans="1:8" s="2" customFormat="1" ht="13.5" thickBot="1">
      <c r="A5" s="2" t="s">
        <v>285</v>
      </c>
      <c r="B5" s="66"/>
      <c r="C5" s="2" t="s">
        <v>286</v>
      </c>
      <c r="D5" s="2" t="s">
        <v>286</v>
      </c>
      <c r="E5" s="2" t="s">
        <v>286</v>
      </c>
      <c r="H5" s="197"/>
    </row>
    <row r="6" spans="1:12" ht="12.75">
      <c r="A6" t="s">
        <v>20</v>
      </c>
      <c r="C6" s="202">
        <f>Veg!B9</f>
        <v>0.14302051853633085</v>
      </c>
      <c r="D6" s="27">
        <f>C6*7</f>
        <v>1.001143629754316</v>
      </c>
      <c r="E6" s="27"/>
      <c r="F6" s="27"/>
      <c r="G6" s="13" t="s">
        <v>1356</v>
      </c>
      <c r="L6" s="9"/>
    </row>
    <row r="7" spans="1:13" ht="12.75">
      <c r="A7" t="s">
        <v>21</v>
      </c>
      <c r="C7" s="202">
        <f>Veg!B12</f>
        <v>0.44820096808455784</v>
      </c>
      <c r="D7" s="27">
        <f>C7*7</f>
        <v>3.137406776591905</v>
      </c>
      <c r="E7" s="27"/>
      <c r="F7" s="27"/>
      <c r="G7" s="13" t="s">
        <v>287</v>
      </c>
      <c r="M7" s="9"/>
    </row>
    <row r="8" spans="1:7" ht="12.75">
      <c r="A8" t="s">
        <v>288</v>
      </c>
      <c r="C8" s="202">
        <f>Veg!B10</f>
        <v>0.26043555417412134</v>
      </c>
      <c r="D8" s="27">
        <f>C8*7</f>
        <v>1.8230488792188493</v>
      </c>
      <c r="E8" s="27"/>
      <c r="F8" s="27"/>
      <c r="G8" s="13" t="s">
        <v>289</v>
      </c>
    </row>
    <row r="9" spans="1:11" s="4" customFormat="1" ht="12.75">
      <c r="A9" s="4" t="s">
        <v>22</v>
      </c>
      <c r="C9" s="202">
        <f>Veg!B11</f>
        <v>0.6798823596963234</v>
      </c>
      <c r="D9" s="27">
        <f>C9*7</f>
        <v>4.7591765178742635</v>
      </c>
      <c r="E9" s="198"/>
      <c r="F9" s="198"/>
      <c r="G9" s="4" t="s">
        <v>24</v>
      </c>
      <c r="K9" s="199"/>
    </row>
    <row r="10" spans="1:7" s="3" customFormat="1" ht="12.75">
      <c r="A10" s="213" t="s">
        <v>469</v>
      </c>
      <c r="B10" s="213"/>
      <c r="C10" s="212">
        <f>Veg!B13</f>
        <v>0.10415181025887801</v>
      </c>
      <c r="D10" s="27">
        <f>C10*7</f>
        <v>0.7290626718121461</v>
      </c>
      <c r="E10" s="200"/>
      <c r="F10" s="200"/>
      <c r="G10" s="65"/>
    </row>
    <row r="11" spans="1:11" ht="12.75">
      <c r="A11" s="46" t="s">
        <v>290</v>
      </c>
      <c r="B11" s="178"/>
      <c r="C11" s="296">
        <f>SUM(C6:C10)</f>
        <v>1.6356912107502115</v>
      </c>
      <c r="D11" s="296">
        <f>SUM(D6:D10)</f>
        <v>11.44983847525148</v>
      </c>
      <c r="E11" s="27"/>
      <c r="F11" s="27"/>
      <c r="K11" s="13" t="s">
        <v>291</v>
      </c>
    </row>
    <row r="12" spans="3:6" ht="12.75">
      <c r="C12" s="27"/>
      <c r="D12" s="27"/>
      <c r="E12" s="27"/>
      <c r="F12" s="27"/>
    </row>
    <row r="13" spans="1:11" ht="12.75">
      <c r="A13" t="s">
        <v>292</v>
      </c>
      <c r="C13" s="202">
        <f>FruitCurrent!AF9-Diet!C14</f>
        <v>0.3291680048528134</v>
      </c>
      <c r="D13" s="1">
        <f>C13*7</f>
        <v>2.3041760339696937</v>
      </c>
      <c r="E13" s="27"/>
      <c r="F13" s="27"/>
      <c r="G13" t="s">
        <v>1357</v>
      </c>
      <c r="K13" s="9"/>
    </row>
    <row r="14" spans="1:18" ht="12.75">
      <c r="A14" t="s">
        <v>293</v>
      </c>
      <c r="C14" s="202">
        <f>FruitCurrent!AF22+FruitCurrent!AF32+FruitCurrent!AF37</f>
        <v>0.10601868278207198</v>
      </c>
      <c r="D14" s="1">
        <f>C14*7</f>
        <v>0.7421307794745039</v>
      </c>
      <c r="E14" s="27"/>
      <c r="F14" s="27"/>
      <c r="G14" t="s">
        <v>294</v>
      </c>
      <c r="K14" s="203"/>
      <c r="Q14" s="204"/>
      <c r="R14" s="9"/>
    </row>
    <row r="15" spans="1:11" ht="12.75">
      <c r="A15" t="s">
        <v>295</v>
      </c>
      <c r="C15" s="202">
        <f>FruitCurrent!AF10-Diet!C16</f>
        <v>0.15766466118950437</v>
      </c>
      <c r="D15" s="1">
        <f>C15*7</f>
        <v>1.1036526283265307</v>
      </c>
      <c r="E15" s="27"/>
      <c r="F15" s="27"/>
      <c r="G15" t="s">
        <v>296</v>
      </c>
      <c r="K15" s="203"/>
    </row>
    <row r="16" spans="1:7" s="3" customFormat="1" ht="12.75">
      <c r="A16" s="3" t="s">
        <v>297</v>
      </c>
      <c r="C16" s="205">
        <f>FruitCurrent!AF103+FruitCurrent!AF112+FruitCurrent!AF120+FruitCurrent!AF128+FruitCurrent!AF133</f>
        <v>0.18277281300143625</v>
      </c>
      <c r="D16" s="1">
        <f>C16*7</f>
        <v>1.2794096910100536</v>
      </c>
      <c r="E16" s="200"/>
      <c r="F16" s="200"/>
      <c r="G16" s="3" t="s">
        <v>298</v>
      </c>
    </row>
    <row r="17" spans="1:11" ht="12.75">
      <c r="A17" s="13" t="s">
        <v>299</v>
      </c>
      <c r="B17" s="25"/>
      <c r="C17" s="27">
        <f>SUM(C13:C16)</f>
        <v>0.7756241618258259</v>
      </c>
      <c r="D17" s="201">
        <f>SUM(D13:D16)</f>
        <v>5.429369132780782</v>
      </c>
      <c r="E17" s="27"/>
      <c r="F17" s="27"/>
      <c r="G17" s="6"/>
      <c r="H17" s="1"/>
      <c r="K17" s="13" t="s">
        <v>300</v>
      </c>
    </row>
    <row r="18" spans="3:8" ht="12.75">
      <c r="C18" s="27"/>
      <c r="D18" s="27"/>
      <c r="E18" s="27"/>
      <c r="F18" s="27"/>
      <c r="G18" s="6"/>
      <c r="H18" s="1"/>
    </row>
    <row r="19" spans="1:8" ht="12.75">
      <c r="A19" t="s">
        <v>14</v>
      </c>
      <c r="B19" s="25"/>
      <c r="C19" s="27" t="s">
        <v>303</v>
      </c>
      <c r="D19" s="202" t="s">
        <v>304</v>
      </c>
      <c r="E19" s="202" t="s">
        <v>305</v>
      </c>
      <c r="F19" s="27"/>
      <c r="G19" s="202"/>
      <c r="H19" s="1"/>
    </row>
    <row r="20" spans="3:8" ht="12.75">
      <c r="C20" s="27"/>
      <c r="D20" s="202"/>
      <c r="E20" s="202"/>
      <c r="F20" s="27"/>
      <c r="G20" s="202"/>
      <c r="H20" s="1"/>
    </row>
    <row r="21" spans="2:6" ht="12.75">
      <c r="B21" s="202"/>
      <c r="C21" s="295" t="s">
        <v>306</v>
      </c>
      <c r="D21" s="295" t="s">
        <v>307</v>
      </c>
      <c r="E21" s="295" t="s">
        <v>33</v>
      </c>
      <c r="F21" s="27"/>
    </row>
    <row r="22" spans="1:7" ht="15">
      <c r="A22" s="13" t="s">
        <v>466</v>
      </c>
      <c r="B22" s="25"/>
      <c r="C22" s="27">
        <f>Protein!B27</f>
        <v>0.7608540981258356</v>
      </c>
      <c r="D22" s="207">
        <f>C22*7</f>
        <v>5.325978686880849</v>
      </c>
      <c r="E22" s="27">
        <f>Protein!D25+Protein!D26</f>
        <v>8.67849205674781</v>
      </c>
      <c r="F22" s="27"/>
      <c r="G22" s="13" t="s">
        <v>468</v>
      </c>
    </row>
    <row r="23" spans="1:7" ht="12.75">
      <c r="A23" s="13" t="s">
        <v>467</v>
      </c>
      <c r="B23" s="25"/>
      <c r="C23" s="802" t="s">
        <v>507</v>
      </c>
      <c r="D23" s="802" t="s">
        <v>507</v>
      </c>
      <c r="E23" s="802" t="s">
        <v>507</v>
      </c>
      <c r="F23" s="27"/>
      <c r="G23" s="9"/>
    </row>
    <row r="24" spans="1:7" ht="12.75">
      <c r="A24" s="13" t="s">
        <v>465</v>
      </c>
      <c r="B24" s="25"/>
      <c r="C24" s="802" t="s">
        <v>146</v>
      </c>
      <c r="D24" s="802" t="s">
        <v>146</v>
      </c>
      <c r="E24" s="802" t="s">
        <v>146</v>
      </c>
      <c r="F24" s="27"/>
      <c r="G24" s="9"/>
    </row>
    <row r="25" spans="1:11" ht="15">
      <c r="A25" t="s">
        <v>308</v>
      </c>
      <c r="B25" s="25"/>
      <c r="C25" s="210">
        <f>D25/7</f>
        <v>0.2857142857142857</v>
      </c>
      <c r="D25" s="574">
        <v>2</v>
      </c>
      <c r="E25" s="27">
        <f>C25*365/16</f>
        <v>6.517857142857142</v>
      </c>
      <c r="F25" s="27"/>
      <c r="G25" s="13" t="s">
        <v>1361</v>
      </c>
      <c r="K25" s="9"/>
    </row>
    <row r="26" spans="1:13" ht="15">
      <c r="A26" t="s">
        <v>126</v>
      </c>
      <c r="B26" s="25"/>
      <c r="C26" s="27">
        <f>Protein!B13</f>
        <v>2.017187105193384</v>
      </c>
      <c r="D26" s="207">
        <f aca="true" t="shared" si="0" ref="D26:D31">C26*7</f>
        <v>14.120309736353688</v>
      </c>
      <c r="E26" s="27">
        <f>C26*365/16</f>
        <v>46.01708083722407</v>
      </c>
      <c r="F26" s="27"/>
      <c r="G26" s="9"/>
      <c r="M26" s="9"/>
    </row>
    <row r="27" spans="1:12" ht="15">
      <c r="A27" s="13" t="s">
        <v>127</v>
      </c>
      <c r="B27" s="25"/>
      <c r="C27" s="27">
        <f>Protein!B14</f>
        <v>0.02309333512140605</v>
      </c>
      <c r="D27" s="207">
        <f t="shared" si="0"/>
        <v>0.16165334584984237</v>
      </c>
      <c r="E27" s="27">
        <f>C27*365/16</f>
        <v>0.5268167074570755</v>
      </c>
      <c r="F27" s="27"/>
      <c r="G27" s="9"/>
      <c r="L27" s="9"/>
    </row>
    <row r="28" spans="1:12" ht="15">
      <c r="A28" t="s">
        <v>128</v>
      </c>
      <c r="B28" s="25"/>
      <c r="C28" s="27">
        <f>ProteinCurrent!AD12</f>
        <v>1.369442488959365</v>
      </c>
      <c r="D28" s="207">
        <f t="shared" si="0"/>
        <v>9.586097422715556</v>
      </c>
      <c r="E28" s="27">
        <f>C28*365/16</f>
        <v>31.240406779385516</v>
      </c>
      <c r="F28" s="27"/>
      <c r="G28" s="9"/>
      <c r="L28" s="9"/>
    </row>
    <row r="29" spans="1:11" ht="15">
      <c r="A29" t="s">
        <v>131</v>
      </c>
      <c r="B29" s="25"/>
      <c r="C29" s="27">
        <f>Protein!B16</f>
        <v>0.47264608539348235</v>
      </c>
      <c r="D29" s="207">
        <f t="shared" si="0"/>
        <v>3.3085225977543766</v>
      </c>
      <c r="E29" s="27">
        <f>C29*365</f>
        <v>172.51582116862104</v>
      </c>
      <c r="F29" s="27"/>
      <c r="G29" s="9"/>
      <c r="K29" s="9"/>
    </row>
    <row r="30" spans="1:7" ht="15">
      <c r="A30" s="13" t="s">
        <v>129</v>
      </c>
      <c r="B30" s="25"/>
      <c r="C30" s="27">
        <f>Protein!B17</f>
        <v>2.100394374082968</v>
      </c>
      <c r="D30" s="207">
        <f t="shared" si="0"/>
        <v>14.702760618580776</v>
      </c>
      <c r="E30" s="27">
        <f>C30*365/16</f>
        <v>47.9152466587677</v>
      </c>
      <c r="F30" s="27"/>
      <c r="G30" s="199"/>
    </row>
    <row r="31" spans="1:7" s="3" customFormat="1" ht="15">
      <c r="A31" s="65" t="s">
        <v>130</v>
      </c>
      <c r="B31" s="576"/>
      <c r="C31" s="27">
        <f>Protein!B18</f>
        <v>0.3696149851240257</v>
      </c>
      <c r="D31" s="208">
        <f t="shared" si="0"/>
        <v>2.5873048958681797</v>
      </c>
      <c r="E31" s="27">
        <f>C31*365/16</f>
        <v>8.431841848141836</v>
      </c>
      <c r="F31" s="200"/>
      <c r="G31" s="12"/>
    </row>
    <row r="32" spans="1:7" ht="12.75">
      <c r="A32" s="6" t="s">
        <v>309</v>
      </c>
      <c r="B32" s="25"/>
      <c r="C32" s="201">
        <f>SUM(C22:C31)</f>
        <v>7.398946757714752</v>
      </c>
      <c r="D32" s="201">
        <f>SUM(D22:D31)</f>
        <v>51.79262730400327</v>
      </c>
      <c r="E32" s="201"/>
      <c r="F32" s="27"/>
      <c r="G32" s="9"/>
    </row>
    <row r="33" spans="1:12" ht="12.75">
      <c r="A33" s="6"/>
      <c r="C33" s="198"/>
      <c r="D33" s="198"/>
      <c r="E33" s="198"/>
      <c r="F33" s="27"/>
      <c r="G33" s="188"/>
      <c r="L33" s="9"/>
    </row>
    <row r="34" spans="1:8" s="33" customFormat="1" ht="12.75">
      <c r="A34" s="33" t="s">
        <v>278</v>
      </c>
      <c r="C34" s="209">
        <f>Dairy!C14</f>
        <v>1</v>
      </c>
      <c r="D34" s="210"/>
      <c r="E34" s="210"/>
      <c r="F34" s="210"/>
      <c r="G34" s="46" t="s">
        <v>310</v>
      </c>
      <c r="H34" s="46"/>
    </row>
    <row r="35" spans="1:11" s="33" customFormat="1" ht="12.75">
      <c r="A35" s="33" t="s">
        <v>109</v>
      </c>
      <c r="B35" s="178"/>
      <c r="C35" s="209">
        <f>Dairy!C65</f>
        <v>0.3191384744247733</v>
      </c>
      <c r="D35" s="210"/>
      <c r="E35" s="210"/>
      <c r="F35" s="210"/>
      <c r="G35" s="46" t="s">
        <v>1359</v>
      </c>
      <c r="K35" s="211"/>
    </row>
    <row r="36" spans="1:7" s="33" customFormat="1" ht="12.75">
      <c r="A36" s="33" t="s">
        <v>311</v>
      </c>
      <c r="B36" s="178"/>
      <c r="C36" s="209">
        <f>Dairy!C55</f>
        <v>0.1</v>
      </c>
      <c r="D36" s="212"/>
      <c r="E36" s="210"/>
      <c r="F36" s="210"/>
      <c r="G36" s="46" t="s">
        <v>1358</v>
      </c>
    </row>
    <row r="37" spans="1:7" s="6" customFormat="1" ht="12.75">
      <c r="A37" s="6" t="s">
        <v>68</v>
      </c>
      <c r="B37" s="334"/>
      <c r="C37" s="580">
        <f>Dairy!C27</f>
        <v>0.1</v>
      </c>
      <c r="D37" s="206"/>
      <c r="E37" s="206"/>
      <c r="F37" s="206"/>
      <c r="G37" s="407" t="s">
        <v>1360</v>
      </c>
    </row>
    <row r="38" spans="1:7" s="6" customFormat="1" ht="12.75">
      <c r="A38" s="325" t="s">
        <v>722</v>
      </c>
      <c r="B38" s="334"/>
      <c r="C38" s="580">
        <f>Dairy!C51</f>
        <v>0.023699796988680643</v>
      </c>
      <c r="D38" s="206"/>
      <c r="E38" s="206"/>
      <c r="F38" s="206"/>
      <c r="G38" s="407"/>
    </row>
    <row r="39" spans="1:7" s="10" customFormat="1" ht="12.75">
      <c r="A39" s="10" t="s">
        <v>312</v>
      </c>
      <c r="B39" s="581"/>
      <c r="C39" s="296">
        <f>SUM(C34:C37)</f>
        <v>1.5191384744247736</v>
      </c>
      <c r="D39" s="296"/>
      <c r="E39" s="296"/>
      <c r="F39" s="296"/>
      <c r="G39" s="275" t="s">
        <v>313</v>
      </c>
    </row>
    <row r="40" spans="3:7" s="6" customFormat="1" ht="12.75">
      <c r="C40" s="206"/>
      <c r="D40" s="206"/>
      <c r="E40" s="206"/>
      <c r="F40" s="206"/>
      <c r="G40" s="188"/>
    </row>
    <row r="41" spans="3:7" s="6" customFormat="1" ht="12.75">
      <c r="C41" s="206"/>
      <c r="D41" s="206"/>
      <c r="E41" s="206"/>
      <c r="F41" s="206"/>
      <c r="G41" s="188"/>
    </row>
    <row r="42" spans="2:9" s="6" customFormat="1" ht="12.75">
      <c r="B42" s="188"/>
      <c r="C42" s="46" t="s">
        <v>314</v>
      </c>
      <c r="D42" s="46" t="s">
        <v>315</v>
      </c>
      <c r="F42" s="188"/>
      <c r="G42" s="214"/>
      <c r="I42" s="215"/>
    </row>
    <row r="43" spans="1:11" s="6" customFormat="1" ht="12.75">
      <c r="A43" s="188" t="s">
        <v>660</v>
      </c>
      <c r="B43" s="182"/>
      <c r="C43" s="287">
        <f>Dairy!C45</f>
        <v>4.0114415450569165</v>
      </c>
      <c r="D43" s="377">
        <f aca="true" t="shared" si="1" ref="D43:D49">C43*7</f>
        <v>28.080090815398414</v>
      </c>
      <c r="F43" s="182"/>
      <c r="G43" s="215"/>
      <c r="I43" s="215"/>
      <c r="K43" s="215"/>
    </row>
    <row r="44" spans="1:9" s="6" customFormat="1" ht="12.75">
      <c r="A44" s="6" t="s">
        <v>317</v>
      </c>
      <c r="B44" s="182"/>
      <c r="C44" s="216">
        <f>Dairy!C72</f>
        <v>4.749893494870182</v>
      </c>
      <c r="D44" s="377">
        <f t="shared" si="1"/>
        <v>33.24925446409128</v>
      </c>
      <c r="F44" s="182"/>
      <c r="G44" s="188" t="s">
        <v>318</v>
      </c>
      <c r="I44" s="188"/>
    </row>
    <row r="45" spans="1:9" s="33" customFormat="1" ht="12.75">
      <c r="A45" s="33" t="s">
        <v>319</v>
      </c>
      <c r="B45" s="182"/>
      <c r="C45" s="216">
        <f>Dairy!C37</f>
        <v>3.1968</v>
      </c>
      <c r="D45" s="377">
        <f t="shared" si="1"/>
        <v>22.3776</v>
      </c>
      <c r="F45" s="182"/>
      <c r="G45" s="46" t="s">
        <v>320</v>
      </c>
      <c r="I45" s="211"/>
    </row>
    <row r="46" spans="1:9" s="33" customFormat="1" ht="12.75">
      <c r="A46" s="33" t="s">
        <v>321</v>
      </c>
      <c r="B46" s="182"/>
      <c r="C46" s="216">
        <f>Dairy!C21</f>
        <v>2.44</v>
      </c>
      <c r="D46" s="377">
        <f t="shared" si="1"/>
        <v>17.08</v>
      </c>
      <c r="F46" s="182"/>
      <c r="G46" s="211"/>
      <c r="I46" s="211"/>
    </row>
    <row r="47" spans="1:9" s="33" customFormat="1" ht="12.75">
      <c r="A47" s="33" t="s">
        <v>322</v>
      </c>
      <c r="B47" s="182"/>
      <c r="C47" s="216">
        <f>Dairy!C61</f>
        <v>0.9080000000000001</v>
      </c>
      <c r="D47" s="377">
        <f t="shared" si="1"/>
        <v>6.356000000000001</v>
      </c>
      <c r="F47" s="182"/>
      <c r="G47" s="211"/>
      <c r="I47" s="211"/>
    </row>
    <row r="48" spans="1:7" s="6" customFormat="1" ht="12.75">
      <c r="A48" s="6" t="s">
        <v>323</v>
      </c>
      <c r="B48" s="182"/>
      <c r="C48" s="490">
        <f>FatsCurrent!Z9</f>
        <v>0.5917485607008356</v>
      </c>
      <c r="D48" s="217">
        <f t="shared" si="1"/>
        <v>4.142239924905849</v>
      </c>
      <c r="F48" s="184"/>
      <c r="G48" s="215"/>
    </row>
    <row r="49" spans="1:7" s="6" customFormat="1" ht="12.75">
      <c r="A49" s="325" t="s">
        <v>765</v>
      </c>
      <c r="B49" s="182"/>
      <c r="C49" s="490">
        <f>FatsCurrent!Z10</f>
        <v>1.1098631029974784</v>
      </c>
      <c r="D49" s="217">
        <f t="shared" si="1"/>
        <v>7.769041720982349</v>
      </c>
      <c r="F49" s="184"/>
      <c r="G49" s="215"/>
    </row>
    <row r="50" spans="1:7" s="213" customFormat="1" ht="12.75">
      <c r="A50" s="68" t="s">
        <v>966</v>
      </c>
      <c r="B50" s="219"/>
      <c r="C50" s="68"/>
      <c r="D50" s="218"/>
      <c r="F50" s="219"/>
      <c r="G50" s="220"/>
    </row>
    <row r="51" spans="1:9" s="33" customFormat="1" ht="12.75">
      <c r="A51" s="6" t="s">
        <v>132</v>
      </c>
      <c r="B51" s="235"/>
      <c r="C51" s="221">
        <f>SUM(C43:C48)</f>
        <v>15.897883600627933</v>
      </c>
      <c r="D51" s="217">
        <f>SUM(D43:D49)</f>
        <v>119.05422692537789</v>
      </c>
      <c r="F51" s="221"/>
      <c r="G51" s="46" t="s">
        <v>324</v>
      </c>
      <c r="I51" s="211"/>
    </row>
    <row r="52" spans="1:9" s="33" customFormat="1" ht="12.75">
      <c r="A52" s="6"/>
      <c r="C52" s="221"/>
      <c r="D52" s="217"/>
      <c r="E52" s="221"/>
      <c r="F52" s="221"/>
      <c r="G52" s="46"/>
      <c r="I52" s="211"/>
    </row>
    <row r="53" spans="2:4" s="33" customFormat="1" ht="12.75">
      <c r="B53" s="396"/>
      <c r="C53" s="397" t="s">
        <v>473</v>
      </c>
      <c r="D53" s="397" t="s">
        <v>315</v>
      </c>
    </row>
    <row r="54" spans="1:7" s="33" customFormat="1" ht="12.75">
      <c r="A54" s="33" t="s">
        <v>8</v>
      </c>
      <c r="B54" s="45"/>
      <c r="C54" s="305">
        <f>Fats!B13</f>
        <v>59.0588823293315</v>
      </c>
      <c r="D54" s="45">
        <f>C54*7</f>
        <v>413.41217630532054</v>
      </c>
      <c r="F54" s="210"/>
      <c r="G54" s="46"/>
    </row>
    <row r="55" spans="3:7" s="33" customFormat="1" ht="12.75">
      <c r="C55" s="178"/>
      <c r="D55" s="210"/>
      <c r="E55" s="210"/>
      <c r="F55" s="210"/>
      <c r="G55" s="46"/>
    </row>
    <row r="56" spans="2:7" s="33" customFormat="1" ht="12.75">
      <c r="B56" s="396"/>
      <c r="C56" s="396" t="s">
        <v>475</v>
      </c>
      <c r="D56" s="398" t="s">
        <v>474</v>
      </c>
      <c r="E56" s="297" t="s">
        <v>33</v>
      </c>
      <c r="F56" s="210"/>
      <c r="G56" s="46"/>
    </row>
    <row r="57" spans="1:7" s="33" customFormat="1" ht="12.75">
      <c r="A57" s="46" t="s">
        <v>951</v>
      </c>
      <c r="B57" s="182"/>
      <c r="C57" s="308">
        <f>Sugar!C12</f>
        <v>13.266745332498255</v>
      </c>
      <c r="D57" s="216">
        <f>C57*7</f>
        <v>92.86721732748778</v>
      </c>
      <c r="E57" s="17">
        <f>Sugar!D12</f>
        <v>44.837476398877904</v>
      </c>
      <c r="F57" s="210"/>
      <c r="G57" s="211"/>
    </row>
    <row r="58" spans="1:7" s="33" customFormat="1" ht="12.75">
      <c r="A58" s="46" t="s">
        <v>140</v>
      </c>
      <c r="B58" s="182"/>
      <c r="C58" s="308">
        <f>Sugar!C14</f>
        <v>15.744272717614416</v>
      </c>
      <c r="D58" s="216">
        <f>C58*7</f>
        <v>110.20990902330091</v>
      </c>
      <c r="E58" s="17">
        <f>Sugar!D14</f>
        <v>53.21074903460137</v>
      </c>
      <c r="F58" s="210"/>
      <c r="G58" s="211"/>
    </row>
    <row r="59" spans="1:11" s="33" customFormat="1" ht="12.75">
      <c r="A59" s="46" t="s">
        <v>952</v>
      </c>
      <c r="B59" s="182"/>
      <c r="C59" s="308">
        <f>Sugar!C10</f>
        <v>0.09369645784042724</v>
      </c>
      <c r="D59" s="216">
        <f>C59*7</f>
        <v>0.6558752048829907</v>
      </c>
      <c r="E59" s="17">
        <f>Sugar!D10</f>
        <v>0.316664910027899</v>
      </c>
      <c r="J59" s="46"/>
      <c r="K59" s="46"/>
    </row>
    <row r="60" spans="1:11" s="33" customFormat="1" ht="12.75">
      <c r="A60" s="33" t="s">
        <v>458</v>
      </c>
      <c r="B60" s="182"/>
      <c r="C60" s="308">
        <f>Sugar!C9</f>
        <v>0.21201188368649518</v>
      </c>
      <c r="D60" s="216">
        <f>C60*7</f>
        <v>1.4840831858054662</v>
      </c>
      <c r="E60" s="17">
        <f>Sugar!D9</f>
        <v>0.7165342812293805</v>
      </c>
      <c r="J60" s="46"/>
      <c r="K60" s="46"/>
    </row>
    <row r="61" spans="8:11" s="33" customFormat="1" ht="12.75">
      <c r="H61" s="46"/>
      <c r="I61" s="46"/>
      <c r="J61" s="61"/>
      <c r="K61" s="61"/>
    </row>
    <row r="62" spans="1:10" s="11" customFormat="1" ht="12.75">
      <c r="A62" s="306" t="s">
        <v>132</v>
      </c>
      <c r="B62" s="324"/>
      <c r="C62" s="324">
        <f>SUM(C57:C60)</f>
        <v>29.316726391639595</v>
      </c>
      <c r="D62" s="324">
        <f>SUM(D57:D60)</f>
        <v>205.21708474147715</v>
      </c>
      <c r="I62" s="228"/>
      <c r="J62" s="307"/>
    </row>
    <row r="63" spans="1:10" s="4" customFormat="1" ht="12.75">
      <c r="A63" s="325"/>
      <c r="B63" s="184"/>
      <c r="C63" s="184"/>
      <c r="D63" s="184"/>
      <c r="I63" s="19"/>
      <c r="J63" s="399"/>
    </row>
    <row r="64" spans="2:5" s="909" customFormat="1" ht="12.75">
      <c r="B64" s="400"/>
      <c r="C64" s="401"/>
      <c r="D64" s="183"/>
      <c r="E64" s="910" t="s">
        <v>43</v>
      </c>
    </row>
    <row r="65" spans="1:7" s="909" customFormat="1" ht="12.75">
      <c r="A65" s="13" t="s">
        <v>301</v>
      </c>
      <c r="B65" s="291"/>
      <c r="C65" s="911"/>
      <c r="D65" s="912"/>
      <c r="E65" s="913" t="s">
        <v>302</v>
      </c>
      <c r="G65" s="909" t="s">
        <v>985</v>
      </c>
    </row>
    <row r="66" spans="1:5" s="909" customFormat="1" ht="12.75">
      <c r="A66" s="909" t="s">
        <v>1362</v>
      </c>
      <c r="E66" s="909">
        <v>2.4</v>
      </c>
    </row>
    <row r="67" spans="1:10" s="909" customFormat="1" ht="12.75">
      <c r="A67" s="909" t="s">
        <v>4</v>
      </c>
      <c r="E67" s="909">
        <v>21.7</v>
      </c>
      <c r="J67" s="914"/>
    </row>
    <row r="68" spans="1:5" s="915" customFormat="1" ht="12.75">
      <c r="A68" s="915" t="s">
        <v>1363</v>
      </c>
      <c r="B68" s="916"/>
      <c r="C68" s="917"/>
      <c r="D68" s="917"/>
      <c r="E68" s="915">
        <v>1.4</v>
      </c>
    </row>
    <row r="69" s="909" customFormat="1" ht="12.75">
      <c r="B69" s="912"/>
    </row>
  </sheetData>
  <sheetProtection/>
  <printOptions/>
  <pageMargins left="0.7" right="0.7" top="0.75" bottom="0.75" header="0.3" footer="0.3"/>
  <pageSetup orientation="portrait"/>
  <legacyDrawing r:id="rId2"/>
</worksheet>
</file>

<file path=xl/worksheets/sheet30.xml><?xml version="1.0" encoding="utf-8"?>
<worksheet xmlns="http://schemas.openxmlformats.org/spreadsheetml/2006/main" xmlns:r="http://schemas.openxmlformats.org/officeDocument/2006/relationships">
  <dimension ref="A1:P23"/>
  <sheetViews>
    <sheetView zoomScalePageLayoutView="0" workbookViewId="0" topLeftCell="A1">
      <selection activeCell="G34" sqref="G34"/>
    </sheetView>
  </sheetViews>
  <sheetFormatPr defaultColWidth="8.8515625" defaultRowHeight="12.75"/>
  <cols>
    <col min="1" max="1" width="18.421875" style="0" customWidth="1"/>
    <col min="2" max="2" width="9.8515625" style="0" bestFit="1" customWidth="1"/>
    <col min="3" max="3" width="10.00390625" style="0" customWidth="1"/>
    <col min="4" max="4" width="11.8515625" style="0" customWidth="1"/>
    <col min="5" max="5" width="8.8515625" style="0" customWidth="1"/>
    <col min="6" max="6" width="9.421875" style="0" customWidth="1"/>
    <col min="7" max="7" width="13.7109375" style="0" customWidth="1"/>
    <col min="8" max="8" width="8.8515625" style="0" customWidth="1"/>
    <col min="9" max="9" width="16.00390625" style="0" bestFit="1" customWidth="1"/>
    <col min="10" max="10" width="10.421875" style="0" customWidth="1"/>
    <col min="11" max="11" width="10.7109375" style="0" customWidth="1"/>
    <col min="12" max="12" width="10.421875" style="0" customWidth="1"/>
    <col min="13" max="13" width="12.421875" style="0" customWidth="1"/>
    <col min="14" max="14" width="13.00390625" style="0" customWidth="1"/>
    <col min="15" max="15" width="14.00390625" style="0" bestFit="1" customWidth="1"/>
  </cols>
  <sheetData>
    <row r="1" spans="1:4" s="33" customFormat="1" ht="15.75">
      <c r="A1" s="609" t="s">
        <v>192</v>
      </c>
      <c r="B1" s="677"/>
      <c r="C1" s="677"/>
      <c r="D1" s="677"/>
    </row>
    <row r="2" spans="1:4" s="33" customFormat="1" ht="12.75">
      <c r="A2" s="46" t="s">
        <v>1319</v>
      </c>
      <c r="B2" s="46"/>
      <c r="C2" s="46"/>
      <c r="D2" s="46"/>
    </row>
    <row r="3" spans="1:4" ht="12.75">
      <c r="A3" s="13"/>
      <c r="B3" s="13"/>
      <c r="C3" s="13"/>
      <c r="D3" s="13"/>
    </row>
    <row r="4" spans="1:4" ht="12.75">
      <c r="A4" s="13" t="s">
        <v>193</v>
      </c>
      <c r="B4" s="70">
        <v>14500000</v>
      </c>
      <c r="D4" s="13"/>
    </row>
    <row r="6" spans="2:10" ht="12.75" customHeight="1">
      <c r="B6" s="1444" t="s">
        <v>796</v>
      </c>
      <c r="C6" s="1444"/>
      <c r="D6" s="1444"/>
      <c r="E6" s="1444"/>
      <c r="F6" s="1444"/>
      <c r="G6" s="1444"/>
      <c r="H6" s="1444"/>
      <c r="I6" s="1444"/>
      <c r="J6" s="1444"/>
    </row>
    <row r="7" spans="2:10" s="30" customFormat="1" ht="24.75" customHeight="1">
      <c r="B7" s="332" t="s">
        <v>453</v>
      </c>
      <c r="C7" s="332" t="s">
        <v>453</v>
      </c>
      <c r="D7" s="332" t="s">
        <v>453</v>
      </c>
      <c r="E7" s="333" t="s">
        <v>123</v>
      </c>
      <c r="F7" s="1449" t="s">
        <v>168</v>
      </c>
      <c r="G7" s="1450"/>
      <c r="H7" s="333" t="s">
        <v>454</v>
      </c>
      <c r="I7" s="1443" t="s">
        <v>455</v>
      </c>
      <c r="J7" s="1443"/>
    </row>
    <row r="8" spans="2:10" ht="12.75">
      <c r="B8" s="227" t="s">
        <v>316</v>
      </c>
      <c r="C8" s="227" t="s">
        <v>456</v>
      </c>
      <c r="D8" s="227" t="s">
        <v>33</v>
      </c>
      <c r="E8" s="227" t="s">
        <v>39</v>
      </c>
      <c r="F8" s="227" t="s">
        <v>484</v>
      </c>
      <c r="G8" s="227" t="s">
        <v>33</v>
      </c>
      <c r="H8" s="227" t="s">
        <v>170</v>
      </c>
      <c r="I8" s="277" t="s">
        <v>457</v>
      </c>
      <c r="J8" s="277" t="s">
        <v>269</v>
      </c>
    </row>
    <row r="9" spans="1:11" ht="12.75">
      <c r="A9" s="13" t="s">
        <v>458</v>
      </c>
      <c r="B9" s="385">
        <v>3.392190138983923</v>
      </c>
      <c r="C9" s="527">
        <v>0.21201188368649518</v>
      </c>
      <c r="D9" s="527">
        <v>0.7165342812293805</v>
      </c>
      <c r="E9" s="531">
        <f>SugarsCurrent!P11</f>
        <v>0.24350000000000002</v>
      </c>
      <c r="F9" s="385">
        <f>D9/(1-E9)</f>
        <v>0.9471702329535764</v>
      </c>
      <c r="G9" s="528">
        <f>F9*B4</f>
        <v>13733968.377826858</v>
      </c>
      <c r="H9" s="411" t="s">
        <v>159</v>
      </c>
      <c r="I9" s="1445" t="s">
        <v>945</v>
      </c>
      <c r="J9" s="1446"/>
      <c r="K9" s="13"/>
    </row>
    <row r="10" spans="1:13" ht="12.75">
      <c r="A10" s="13" t="s">
        <v>471</v>
      </c>
      <c r="B10" s="1451">
        <v>1.4991433254468358</v>
      </c>
      <c r="C10" s="1454">
        <v>0.09369645784042724</v>
      </c>
      <c r="D10" s="1454">
        <v>0.316664910027899</v>
      </c>
      <c r="E10" s="532">
        <f>SugarsCurrent!P10</f>
        <v>0.24350000000000002</v>
      </c>
      <c r="F10" s="927">
        <f>D10/(1-E9)</f>
        <v>0.4185920819932571</v>
      </c>
      <c r="G10" s="529">
        <f>F10*B4</f>
        <v>6069585.188902228</v>
      </c>
      <c r="H10" s="384" t="s">
        <v>159</v>
      </c>
      <c r="I10" s="1447" t="s">
        <v>801</v>
      </c>
      <c r="J10" s="1448"/>
      <c r="K10" s="230" t="s">
        <v>946</v>
      </c>
      <c r="M10" s="13"/>
    </row>
    <row r="11" spans="1:12" ht="12.75">
      <c r="A11" s="13" t="s">
        <v>669</v>
      </c>
      <c r="B11" s="1451"/>
      <c r="C11" s="1454"/>
      <c r="D11" s="1454"/>
      <c r="E11" s="533">
        <f>SugarsCurrent!P10</f>
        <v>0.24350000000000002</v>
      </c>
      <c r="F11" s="384" t="s">
        <v>159</v>
      </c>
      <c r="G11" s="37" t="s">
        <v>159</v>
      </c>
      <c r="H11" s="384" t="s">
        <v>159</v>
      </c>
      <c r="I11" s="384" t="s">
        <v>159</v>
      </c>
      <c r="J11" s="524"/>
      <c r="K11" s="14"/>
      <c r="L11" s="809" t="s">
        <v>1266</v>
      </c>
    </row>
    <row r="12" spans="1:13" ht="12.75">
      <c r="A12" s="13" t="s">
        <v>668</v>
      </c>
      <c r="B12" s="1451">
        <v>212.26792531997208</v>
      </c>
      <c r="C12" s="1452">
        <v>13.266745332498255</v>
      </c>
      <c r="D12" s="1453">
        <v>44.837476398877904</v>
      </c>
      <c r="E12" s="532">
        <f>SugarsCurrent!P8</f>
        <v>0.41259999999999997</v>
      </c>
      <c r="F12" s="386">
        <f>(D12*0.55)/(1-E12)</f>
        <v>41.982655804192795</v>
      </c>
      <c r="G12" s="530">
        <f>F12*B4</f>
        <v>608748509.1607956</v>
      </c>
      <c r="H12" s="304">
        <f>SugarsY!I5</f>
        <v>8206.60144011941</v>
      </c>
      <c r="I12" s="387">
        <f>G12/H12</f>
        <v>74177.90587280403</v>
      </c>
      <c r="J12" s="534">
        <f>I12/1000</f>
        <v>74.17790587280402</v>
      </c>
      <c r="K12" s="234"/>
      <c r="L12" s="13" t="s">
        <v>1331</v>
      </c>
      <c r="M12" s="14"/>
    </row>
    <row r="13" spans="1:12" s="749" customFormat="1" ht="12.75">
      <c r="A13" s="749" t="s">
        <v>476</v>
      </c>
      <c r="B13" s="1451"/>
      <c r="C13" s="1452"/>
      <c r="D13" s="1453"/>
      <c r="E13" s="758">
        <f>SugarsCurrent!P8</f>
        <v>0.41259999999999997</v>
      </c>
      <c r="F13" s="759">
        <f>(D12*0.45)/(1-E13)</f>
        <v>34.34944565797592</v>
      </c>
      <c r="G13" s="760">
        <f>F13*B4</f>
        <v>498066962.04065084</v>
      </c>
      <c r="H13" s="761">
        <f>SugarsY!I6</f>
        <v>8556.17963845707</v>
      </c>
      <c r="I13" s="761">
        <f>G12/H13</f>
        <v>71147.23333117989</v>
      </c>
      <c r="J13" s="762">
        <f>I13/1000</f>
        <v>71.14723333117989</v>
      </c>
      <c r="K13" s="763"/>
      <c r="L13" s="13" t="s">
        <v>1333</v>
      </c>
    </row>
    <row r="14" spans="1:13" ht="12.75">
      <c r="A14" s="13" t="s">
        <v>477</v>
      </c>
      <c r="B14" s="569">
        <v>251.90836348183066</v>
      </c>
      <c r="C14" s="570">
        <v>15.744272717614416</v>
      </c>
      <c r="D14" s="570">
        <v>53.21074903460137</v>
      </c>
      <c r="E14" s="533">
        <f>SugarsCurrent!P14</f>
        <v>0.41259999999999997</v>
      </c>
      <c r="F14" s="804">
        <f>D14/(1-E14)</f>
        <v>90.58690676643066</v>
      </c>
      <c r="G14" s="529">
        <f>F14*B4</f>
        <v>1313510148.1132445</v>
      </c>
      <c r="H14" s="803">
        <f>Grain!I10*(33/56)</f>
        <v>4940.099999999999</v>
      </c>
      <c r="I14" s="304">
        <f>G14/H14</f>
        <v>265887.3601978188</v>
      </c>
      <c r="J14" s="805">
        <f>I14/1000</f>
        <v>265.8873601978188</v>
      </c>
      <c r="L14" s="13" t="s">
        <v>1334</v>
      </c>
      <c r="M14" s="14"/>
    </row>
    <row r="15" spans="1:11" ht="12.75">
      <c r="A15" s="13" t="s">
        <v>134</v>
      </c>
      <c r="B15" s="572">
        <f>SUM(B9:B14)</f>
        <v>469.06762226623346</v>
      </c>
      <c r="C15" s="571">
        <f>SUM(C9:C14)</f>
        <v>29.31672639163959</v>
      </c>
      <c r="D15" s="571">
        <f>SUM(D9:D14)</f>
        <v>99.08142462473656</v>
      </c>
      <c r="E15" s="573"/>
      <c r="F15" s="572">
        <f>SUM(F9:F14)</f>
        <v>168.2847705435462</v>
      </c>
      <c r="G15" s="90">
        <f>SUM(G9:G14)</f>
        <v>2440129172.88142</v>
      </c>
      <c r="H15" s="573"/>
      <c r="I15" s="572"/>
      <c r="J15" s="806">
        <f>SUM(J12:J14)</f>
        <v>411.2124994018027</v>
      </c>
      <c r="K15" s="225"/>
    </row>
    <row r="16" spans="13:16" ht="12.75">
      <c r="M16" s="14"/>
      <c r="N16" s="14"/>
      <c r="O16" s="14"/>
      <c r="P16" s="14"/>
    </row>
    <row r="17" spans="7:16" ht="12.75">
      <c r="G17" s="58"/>
      <c r="M17" s="14"/>
      <c r="N17" s="14"/>
      <c r="O17" s="14"/>
      <c r="P17" s="14"/>
    </row>
    <row r="18" spans="10:16" ht="12.75">
      <c r="J18" s="13"/>
      <c r="M18" s="14"/>
      <c r="N18" s="14"/>
      <c r="O18" s="14"/>
      <c r="P18" s="14"/>
    </row>
    <row r="19" spans="1:16" ht="12.75">
      <c r="A19" s="13"/>
      <c r="B19" s="28"/>
      <c r="C19" s="28"/>
      <c r="D19" s="28"/>
      <c r="E19" s="955"/>
      <c r="J19" s="13"/>
      <c r="M19" s="49"/>
      <c r="N19" s="14"/>
      <c r="O19" s="14"/>
      <c r="P19" s="14"/>
    </row>
    <row r="20" spans="13:16" ht="12.75">
      <c r="M20" s="51"/>
      <c r="N20" s="15"/>
      <c r="O20" s="49"/>
      <c r="P20" s="14"/>
    </row>
    <row r="21" spans="7:16" ht="12.75">
      <c r="G21" s="58"/>
      <c r="M21" s="14"/>
      <c r="N21" s="14"/>
      <c r="O21" s="14"/>
      <c r="P21" s="14"/>
    </row>
    <row r="22" spans="13:16" ht="12.75">
      <c r="M22" s="14"/>
      <c r="N22" s="14"/>
      <c r="O22" s="14"/>
      <c r="P22" s="14"/>
    </row>
    <row r="23" spans="13:16" ht="12.75">
      <c r="M23" s="14"/>
      <c r="N23" s="14"/>
      <c r="O23" s="14"/>
      <c r="P23" s="14"/>
    </row>
  </sheetData>
  <sheetProtection/>
  <mergeCells count="12">
    <mergeCell ref="B12:B13"/>
    <mergeCell ref="C12:C13"/>
    <mergeCell ref="D12:D13"/>
    <mergeCell ref="D10:D11"/>
    <mergeCell ref="C10:C11"/>
    <mergeCell ref="B10:B11"/>
    <mergeCell ref="I7:J7"/>
    <mergeCell ref="E6:J6"/>
    <mergeCell ref="I9:J9"/>
    <mergeCell ref="I10:J10"/>
    <mergeCell ref="B6:D6"/>
    <mergeCell ref="F7:G7"/>
  </mergeCells>
  <printOptions/>
  <pageMargins left="0.7" right="0.7" top="0.75" bottom="0.75" header="0.3" footer="0.3"/>
  <pageSetup orientation="portrait"/>
  <legacyDrawing r:id="rId2"/>
</worksheet>
</file>

<file path=xl/worksheets/sheet31.xml><?xml version="1.0" encoding="utf-8"?>
<worksheet xmlns="http://schemas.openxmlformats.org/spreadsheetml/2006/main" xmlns:r="http://schemas.openxmlformats.org/officeDocument/2006/relationships">
  <dimension ref="A1:AE20"/>
  <sheetViews>
    <sheetView zoomScalePageLayoutView="0" workbookViewId="0" topLeftCell="A1">
      <selection activeCell="B11" sqref="B11"/>
    </sheetView>
  </sheetViews>
  <sheetFormatPr defaultColWidth="8.8515625" defaultRowHeight="12.75"/>
  <cols>
    <col min="1" max="1" width="13.8515625" style="0" customWidth="1"/>
    <col min="2" max="2" width="8.8515625" style="0" customWidth="1"/>
    <col min="3" max="3" width="1.1484375" style="0" hidden="1" customWidth="1"/>
    <col min="4" max="4" width="0" style="0" hidden="1" customWidth="1"/>
    <col min="5" max="5" width="1.1484375" style="0" hidden="1" customWidth="1"/>
    <col min="6" max="6" width="0" style="0" hidden="1" customWidth="1"/>
    <col min="7" max="7" width="1.1484375" style="0" hidden="1" customWidth="1"/>
    <col min="8" max="8" width="0" style="0" hidden="1" customWidth="1"/>
    <col min="9" max="9" width="1.1484375" style="0" hidden="1" customWidth="1"/>
    <col min="10" max="10" width="0" style="0" hidden="1" customWidth="1"/>
    <col min="11" max="11" width="1.1484375" style="0" hidden="1" customWidth="1"/>
    <col min="12" max="12" width="0" style="0" hidden="1" customWidth="1"/>
    <col min="13" max="13" width="1.1484375" style="0" hidden="1" customWidth="1"/>
    <col min="14" max="14" width="0" style="0" hidden="1" customWidth="1"/>
    <col min="15" max="15" width="1.1484375" style="0" hidden="1" customWidth="1"/>
    <col min="16" max="16" width="8.8515625" style="0" customWidth="1"/>
    <col min="17" max="17" width="1.1484375" style="0" hidden="1" customWidth="1"/>
    <col min="18" max="18" width="8.8515625" style="0" customWidth="1"/>
    <col min="19" max="19" width="1.1484375" style="0" hidden="1" customWidth="1"/>
    <col min="20" max="20" width="8.8515625" style="0" customWidth="1"/>
    <col min="21" max="21" width="1.1484375" style="0" hidden="1" customWidth="1"/>
    <col min="22" max="22" width="8.8515625" style="0" customWidth="1"/>
    <col min="23" max="23" width="1.1484375" style="0" customWidth="1"/>
    <col min="24" max="24" width="9.140625" style="0" customWidth="1"/>
    <col min="25" max="25" width="1.1484375" style="0" customWidth="1"/>
    <col min="26" max="26" width="9.140625" style="0" customWidth="1"/>
    <col min="27" max="27" width="1.1484375" style="0" customWidth="1"/>
    <col min="28" max="28" width="8.8515625" style="0" customWidth="1"/>
    <col min="29" max="29" width="1.1484375" style="0" hidden="1" customWidth="1"/>
    <col min="30" max="30" width="8.8515625" style="0" customWidth="1"/>
    <col min="31" max="31" width="1.1484375" style="0" hidden="1" customWidth="1"/>
  </cols>
  <sheetData>
    <row r="1" ht="18">
      <c r="A1" s="412" t="s">
        <v>776</v>
      </c>
    </row>
    <row r="3" spans="1:31" s="13" customFormat="1" ht="12" customHeight="1">
      <c r="A3" s="1398"/>
      <c r="B3" s="1397" t="s">
        <v>580</v>
      </c>
      <c r="C3" s="1398"/>
      <c r="D3" s="1383" t="s">
        <v>195</v>
      </c>
      <c r="E3" s="1398"/>
      <c r="F3" s="1397" t="s">
        <v>196</v>
      </c>
      <c r="G3" s="1398"/>
      <c r="H3" s="1397" t="s">
        <v>197</v>
      </c>
      <c r="I3" s="1398"/>
      <c r="J3" s="1397" t="s">
        <v>198</v>
      </c>
      <c r="K3" s="1398"/>
      <c r="L3" s="1345" t="s">
        <v>199</v>
      </c>
      <c r="M3" s="1346"/>
      <c r="N3" s="1346"/>
      <c r="O3" s="1347"/>
      <c r="P3" s="1397" t="s">
        <v>200</v>
      </c>
      <c r="Q3" s="1398"/>
      <c r="R3" s="1383" t="s">
        <v>201</v>
      </c>
      <c r="S3" s="1384"/>
      <c r="T3" s="1384"/>
      <c r="U3" s="1384"/>
      <c r="V3" s="1384"/>
      <c r="W3" s="1398"/>
      <c r="X3" s="1397" t="s">
        <v>777</v>
      </c>
      <c r="Y3" s="1398"/>
      <c r="Z3" s="1397" t="s">
        <v>778</v>
      </c>
      <c r="AA3" s="1398"/>
      <c r="AB3" s="1383" t="s">
        <v>581</v>
      </c>
      <c r="AC3" s="1398"/>
      <c r="AD3" s="1383" t="s">
        <v>779</v>
      </c>
      <c r="AE3" s="1384"/>
    </row>
    <row r="4" spans="1:31" s="13" customFormat="1" ht="12" customHeight="1">
      <c r="A4" s="1399"/>
      <c r="B4" s="1385"/>
      <c r="C4" s="1399"/>
      <c r="D4" s="1385"/>
      <c r="E4" s="1399"/>
      <c r="F4" s="1385"/>
      <c r="G4" s="1399"/>
      <c r="H4" s="1385"/>
      <c r="I4" s="1399"/>
      <c r="J4" s="1385"/>
      <c r="K4" s="1399"/>
      <c r="L4" s="1397" t="s">
        <v>203</v>
      </c>
      <c r="M4" s="1398"/>
      <c r="N4" s="1397" t="s">
        <v>204</v>
      </c>
      <c r="O4" s="1398"/>
      <c r="P4" s="1385"/>
      <c r="Q4" s="1399"/>
      <c r="R4" s="1385"/>
      <c r="S4" s="1386"/>
      <c r="T4" s="1386"/>
      <c r="U4" s="1386"/>
      <c r="V4" s="1386"/>
      <c r="W4" s="1399"/>
      <c r="X4" s="1385"/>
      <c r="Y4" s="1399"/>
      <c r="Z4" s="1385"/>
      <c r="AA4" s="1399"/>
      <c r="AB4" s="1385"/>
      <c r="AC4" s="1399"/>
      <c r="AD4" s="1385"/>
      <c r="AE4" s="1386"/>
    </row>
    <row r="5" spans="1:31" s="13" customFormat="1" ht="15.75" customHeight="1">
      <c r="A5" s="1399"/>
      <c r="B5" s="1385"/>
      <c r="C5" s="1399"/>
      <c r="D5" s="1385"/>
      <c r="E5" s="1399"/>
      <c r="F5" s="1385"/>
      <c r="G5" s="1399"/>
      <c r="H5" s="1385"/>
      <c r="I5" s="1399"/>
      <c r="J5" s="1385"/>
      <c r="K5" s="1399"/>
      <c r="L5" s="1385"/>
      <c r="M5" s="1399"/>
      <c r="N5" s="1385"/>
      <c r="O5" s="1399"/>
      <c r="P5" s="1385"/>
      <c r="Q5" s="1399"/>
      <c r="R5" s="1385"/>
      <c r="S5" s="1386"/>
      <c r="T5" s="1386"/>
      <c r="U5" s="1386"/>
      <c r="V5" s="1386"/>
      <c r="W5" s="1399"/>
      <c r="X5" s="1385"/>
      <c r="Y5" s="1399"/>
      <c r="Z5" s="1385"/>
      <c r="AA5" s="1399"/>
      <c r="AB5" s="1385"/>
      <c r="AC5" s="1399"/>
      <c r="AD5" s="1385"/>
      <c r="AE5" s="1386"/>
    </row>
    <row r="6" spans="1:31" s="13" customFormat="1" ht="14.25" customHeight="1">
      <c r="A6" s="1400"/>
      <c r="B6" s="1387"/>
      <c r="C6" s="1400"/>
      <c r="D6" s="1387"/>
      <c r="E6" s="1400"/>
      <c r="F6" s="1387"/>
      <c r="G6" s="1400"/>
      <c r="H6" s="1387"/>
      <c r="I6" s="1400"/>
      <c r="J6" s="1387"/>
      <c r="K6" s="1400"/>
      <c r="L6" s="1387"/>
      <c r="M6" s="1400"/>
      <c r="N6" s="1387"/>
      <c r="O6" s="1400"/>
      <c r="P6" s="1387"/>
      <c r="Q6" s="1400"/>
      <c r="R6" s="1387"/>
      <c r="S6" s="1388"/>
      <c r="T6" s="1388"/>
      <c r="U6" s="1388"/>
      <c r="V6" s="1388"/>
      <c r="W6" s="1400"/>
      <c r="X6" s="1387"/>
      <c r="Y6" s="1400"/>
      <c r="Z6" s="1387"/>
      <c r="AA6" s="1400"/>
      <c r="AB6" s="1387"/>
      <c r="AC6" s="1400"/>
      <c r="AD6" s="1387"/>
      <c r="AE6" s="1388"/>
    </row>
    <row r="7" spans="1:31" s="13" customFormat="1" ht="12" customHeight="1">
      <c r="A7" s="480"/>
      <c r="B7" s="1386" t="s">
        <v>582</v>
      </c>
      <c r="C7" s="1386"/>
      <c r="D7" s="1386" t="s">
        <v>583</v>
      </c>
      <c r="E7" s="1386"/>
      <c r="F7" s="1386" t="s">
        <v>582</v>
      </c>
      <c r="G7" s="1386"/>
      <c r="H7" s="1386" t="s">
        <v>583</v>
      </c>
      <c r="I7" s="1386"/>
      <c r="J7" s="1386" t="s">
        <v>582</v>
      </c>
      <c r="K7" s="1386"/>
      <c r="L7" s="1386" t="s">
        <v>583</v>
      </c>
      <c r="M7" s="1386"/>
      <c r="N7" s="1386" t="s">
        <v>583</v>
      </c>
      <c r="O7" s="1386"/>
      <c r="P7" s="1386" t="s">
        <v>583</v>
      </c>
      <c r="Q7" s="1386"/>
      <c r="R7" s="1386" t="s">
        <v>582</v>
      </c>
      <c r="S7" s="1386"/>
      <c r="T7" s="1386" t="s">
        <v>137</v>
      </c>
      <c r="U7" s="1386"/>
      <c r="V7" s="1386" t="s">
        <v>584</v>
      </c>
      <c r="W7" s="1386"/>
      <c r="X7" s="1386" t="s">
        <v>585</v>
      </c>
      <c r="Y7" s="1386"/>
      <c r="Z7" s="1386" t="s">
        <v>205</v>
      </c>
      <c r="AA7" s="1386"/>
      <c r="AB7" s="1386" t="s">
        <v>585</v>
      </c>
      <c r="AC7" s="1386"/>
      <c r="AD7" s="1386" t="s">
        <v>780</v>
      </c>
      <c r="AE7" s="1386"/>
    </row>
    <row r="8" spans="1:30" s="46" customFormat="1" ht="12.75">
      <c r="A8" s="46" t="s">
        <v>781</v>
      </c>
      <c r="B8" s="509">
        <v>63.489868948266384</v>
      </c>
      <c r="C8" s="510"/>
      <c r="D8" s="510">
        <v>0</v>
      </c>
      <c r="E8" s="510"/>
      <c r="F8" s="510">
        <v>63.489868948266384</v>
      </c>
      <c r="G8" s="510"/>
      <c r="H8" s="510">
        <v>11</v>
      </c>
      <c r="I8" s="510"/>
      <c r="J8" s="510">
        <v>56.50598336395708</v>
      </c>
      <c r="K8" s="510"/>
      <c r="L8" s="510">
        <v>0</v>
      </c>
      <c r="M8" s="510"/>
      <c r="N8" s="510">
        <v>34</v>
      </c>
      <c r="O8" s="510"/>
      <c r="P8" s="511">
        <f>(1/100)*41.26</f>
        <v>0.41259999999999997</v>
      </c>
      <c r="Q8" s="510"/>
      <c r="R8" s="509">
        <v>37.29394902021168</v>
      </c>
      <c r="S8" s="510"/>
      <c r="T8" s="509">
        <v>1.6348032447216077</v>
      </c>
      <c r="U8" s="509"/>
      <c r="V8" s="509">
        <v>46.345854586235205</v>
      </c>
      <c r="W8" s="510"/>
      <c r="X8" s="510">
        <v>16</v>
      </c>
      <c r="Y8" s="510"/>
      <c r="Z8" s="510">
        <v>4.2</v>
      </c>
      <c r="AA8" s="510"/>
      <c r="AB8" s="512">
        <v>176.5556365189913</v>
      </c>
      <c r="AC8" s="510"/>
      <c r="AD8" s="509">
        <v>11.034727282436956</v>
      </c>
    </row>
    <row r="9" spans="2:30" s="46" customFormat="1" ht="12.75">
      <c r="B9" s="216"/>
      <c r="C9" s="503"/>
      <c r="D9" s="503"/>
      <c r="E9" s="503"/>
      <c r="F9" s="503"/>
      <c r="G9" s="503"/>
      <c r="H9" s="503"/>
      <c r="I9" s="503"/>
      <c r="J9" s="503"/>
      <c r="K9" s="503"/>
      <c r="L9" s="503"/>
      <c r="M9" s="503"/>
      <c r="N9" s="503"/>
      <c r="O9" s="503"/>
      <c r="P9" s="489"/>
      <c r="Q9" s="503"/>
      <c r="R9" s="216"/>
      <c r="S9" s="503"/>
      <c r="T9" s="216"/>
      <c r="U9" s="216"/>
      <c r="V9" s="216"/>
      <c r="W9" s="503"/>
      <c r="X9" s="503"/>
      <c r="Y9" s="503"/>
      <c r="Z9" s="503"/>
      <c r="AA9" s="503"/>
      <c r="AB9" s="182"/>
      <c r="AC9" s="503"/>
      <c r="AD9" s="216"/>
    </row>
    <row r="10" spans="1:30" s="46" customFormat="1" ht="12.75">
      <c r="A10" s="46" t="s">
        <v>782</v>
      </c>
      <c r="B10" s="216">
        <v>0.4502933644316832</v>
      </c>
      <c r="C10" s="503"/>
      <c r="D10" s="503">
        <v>0</v>
      </c>
      <c r="E10" s="503"/>
      <c r="F10" s="503">
        <v>0.4502933644316832</v>
      </c>
      <c r="G10" s="503"/>
      <c r="H10" s="503">
        <v>11</v>
      </c>
      <c r="I10" s="503"/>
      <c r="J10" s="503">
        <v>0.40076109434419804</v>
      </c>
      <c r="K10" s="503"/>
      <c r="L10" s="503">
        <v>0</v>
      </c>
      <c r="M10" s="503"/>
      <c r="N10" s="503">
        <v>15</v>
      </c>
      <c r="O10" s="503"/>
      <c r="P10" s="489">
        <f>(1/100)*24.35</f>
        <v>0.24350000000000002</v>
      </c>
      <c r="Q10" s="503"/>
      <c r="R10" s="216">
        <v>0.34064693019256836</v>
      </c>
      <c r="S10" s="503"/>
      <c r="T10" s="216">
        <v>0.014932468172824915</v>
      </c>
      <c r="U10" s="216"/>
      <c r="V10" s="216">
        <v>0.42332800646549995</v>
      </c>
      <c r="W10" s="503"/>
      <c r="X10" s="503">
        <v>16</v>
      </c>
      <c r="Y10" s="503"/>
      <c r="Z10" s="503">
        <v>4.2</v>
      </c>
      <c r="AA10" s="503"/>
      <c r="AB10" s="182">
        <v>1.6126781198685713</v>
      </c>
      <c r="AC10" s="503"/>
      <c r="AD10" s="216">
        <v>0.10079238249178571</v>
      </c>
    </row>
    <row r="11" spans="1:30" s="46" customFormat="1" ht="12.75">
      <c r="A11" s="46" t="s">
        <v>458</v>
      </c>
      <c r="B11" s="216">
        <v>1.0072397753051758</v>
      </c>
      <c r="C11" s="503"/>
      <c r="D11" s="503">
        <v>0</v>
      </c>
      <c r="E11" s="503"/>
      <c r="F11" s="503">
        <v>1.0072397753051758</v>
      </c>
      <c r="G11" s="503"/>
      <c r="H11" s="503">
        <v>11</v>
      </c>
      <c r="I11" s="503"/>
      <c r="J11" s="503">
        <v>0.8964434000216064</v>
      </c>
      <c r="K11" s="503"/>
      <c r="L11" s="503">
        <v>0</v>
      </c>
      <c r="M11" s="503"/>
      <c r="N11" s="503">
        <v>15</v>
      </c>
      <c r="O11" s="503"/>
      <c r="P11" s="489">
        <f>(1/100)*24.35</f>
        <v>0.24350000000000002</v>
      </c>
      <c r="Q11" s="503"/>
      <c r="R11" s="216">
        <v>0.7619768900183654</v>
      </c>
      <c r="S11" s="503"/>
      <c r="T11" s="216">
        <v>0.03340172668573657</v>
      </c>
      <c r="U11" s="216"/>
      <c r="V11" s="216">
        <v>0.9469222506772889</v>
      </c>
      <c r="W11" s="503"/>
      <c r="X11" s="503">
        <v>16</v>
      </c>
      <c r="Y11" s="503"/>
      <c r="Z11" s="503">
        <v>4.2</v>
      </c>
      <c r="AA11" s="503"/>
      <c r="AB11" s="182">
        <v>3.6073228597230056</v>
      </c>
      <c r="AC11" s="503"/>
      <c r="AD11" s="216">
        <v>0.22545767873268785</v>
      </c>
    </row>
    <row r="12" spans="1:30" s="46" customFormat="1" ht="12.75">
      <c r="A12" s="275" t="s">
        <v>783</v>
      </c>
      <c r="B12" s="502">
        <v>1.4575331397368592</v>
      </c>
      <c r="C12" s="500"/>
      <c r="D12" s="275"/>
      <c r="E12" s="500"/>
      <c r="F12" s="500">
        <v>1.4575331397368592</v>
      </c>
      <c r="G12" s="500"/>
      <c r="H12" s="275"/>
      <c r="I12" s="275"/>
      <c r="J12" s="500">
        <v>1.2972044943658045</v>
      </c>
      <c r="K12" s="275"/>
      <c r="L12" s="275"/>
      <c r="M12" s="275"/>
      <c r="N12" s="275"/>
      <c r="O12" s="500"/>
      <c r="P12" s="501">
        <f>(1/100)*24.35</f>
        <v>0.24350000000000002</v>
      </c>
      <c r="Q12" s="500"/>
      <c r="R12" s="502">
        <v>1.1026238202109337</v>
      </c>
      <c r="S12" s="500"/>
      <c r="T12" s="502">
        <v>0.04833419485856148</v>
      </c>
      <c r="U12" s="502"/>
      <c r="V12" s="502">
        <v>1.3702502571427888</v>
      </c>
      <c r="W12" s="500"/>
      <c r="X12" s="500"/>
      <c r="Y12" s="500"/>
      <c r="Z12" s="500"/>
      <c r="AA12" s="500"/>
      <c r="AB12" s="324">
        <v>5.2200009795915765</v>
      </c>
      <c r="AC12" s="500"/>
      <c r="AD12" s="502">
        <v>0.32625006122447353</v>
      </c>
    </row>
    <row r="13" spans="2:30" s="46" customFormat="1" ht="12.75">
      <c r="B13" s="216"/>
      <c r="C13" s="503"/>
      <c r="E13" s="503"/>
      <c r="F13" s="503"/>
      <c r="G13" s="503"/>
      <c r="J13" s="503"/>
      <c r="O13" s="503"/>
      <c r="P13" s="489"/>
      <c r="Q13" s="503"/>
      <c r="R13" s="216"/>
      <c r="S13" s="503"/>
      <c r="T13" s="216"/>
      <c r="U13" s="216"/>
      <c r="V13" s="216"/>
      <c r="W13" s="503"/>
      <c r="X13" s="503"/>
      <c r="Y13" s="503"/>
      <c r="Z13" s="503"/>
      <c r="AA13" s="503"/>
      <c r="AB13" s="182"/>
      <c r="AC13" s="503"/>
      <c r="AD13" s="216"/>
    </row>
    <row r="14" spans="1:30" s="46" customFormat="1" ht="12.75">
      <c r="A14" s="46" t="s">
        <v>784</v>
      </c>
      <c r="B14" s="216">
        <v>53.24690931406955</v>
      </c>
      <c r="C14" s="503"/>
      <c r="D14" s="503">
        <v>0</v>
      </c>
      <c r="E14" s="503"/>
      <c r="F14" s="503">
        <v>53.24690931406955</v>
      </c>
      <c r="G14" s="503"/>
      <c r="H14" s="503">
        <v>11</v>
      </c>
      <c r="I14" s="503"/>
      <c r="J14" s="503">
        <v>47.3897492895219</v>
      </c>
      <c r="K14" s="503"/>
      <c r="L14" s="503">
        <v>0</v>
      </c>
      <c r="M14" s="503"/>
      <c r="N14" s="503">
        <v>34</v>
      </c>
      <c r="O14" s="503"/>
      <c r="P14" s="489">
        <f>(1/100)*41.26</f>
        <v>0.41259999999999997</v>
      </c>
      <c r="Q14" s="503"/>
      <c r="R14" s="216">
        <v>31.277234531084453</v>
      </c>
      <c r="S14" s="503"/>
      <c r="T14" s="216">
        <v>1.3710568561571268</v>
      </c>
      <c r="U14" s="216"/>
      <c r="V14" s="216">
        <v>38.868776343626465</v>
      </c>
      <c r="W14" s="503"/>
      <c r="X14" s="503">
        <v>16</v>
      </c>
      <c r="Y14" s="503"/>
      <c r="Z14" s="503">
        <v>4.2</v>
      </c>
      <c r="AA14" s="503"/>
      <c r="AB14" s="182">
        <v>148.0715289281008</v>
      </c>
      <c r="AC14" s="503"/>
      <c r="AD14" s="216">
        <v>9.2544705580063</v>
      </c>
    </row>
    <row r="15" spans="1:30" s="46" customFormat="1" ht="12.75">
      <c r="A15" s="46" t="s">
        <v>785</v>
      </c>
      <c r="B15" s="216">
        <v>13.272593858143225</v>
      </c>
      <c r="C15" s="503"/>
      <c r="D15" s="503">
        <v>0</v>
      </c>
      <c r="E15" s="503"/>
      <c r="F15" s="503">
        <v>13.272593858143225</v>
      </c>
      <c r="G15" s="503"/>
      <c r="H15" s="503">
        <v>11</v>
      </c>
      <c r="I15" s="503"/>
      <c r="J15" s="503">
        <v>11.81260853374747</v>
      </c>
      <c r="K15" s="503"/>
      <c r="L15" s="503">
        <v>0</v>
      </c>
      <c r="M15" s="503"/>
      <c r="N15" s="503">
        <v>34</v>
      </c>
      <c r="O15" s="503"/>
      <c r="P15" s="489">
        <f>(1/100)*41.26</f>
        <v>0.41259999999999997</v>
      </c>
      <c r="Q15" s="503"/>
      <c r="R15" s="216">
        <v>7.796321632273329</v>
      </c>
      <c r="S15" s="503"/>
      <c r="T15" s="216">
        <v>0.3417565647023926</v>
      </c>
      <c r="U15" s="216"/>
      <c r="V15" s="216">
        <v>9.688627731030476</v>
      </c>
      <c r="W15" s="503"/>
      <c r="X15" s="503">
        <v>16</v>
      </c>
      <c r="Y15" s="503"/>
      <c r="Z15" s="503">
        <v>4.2</v>
      </c>
      <c r="AA15" s="503"/>
      <c r="AB15" s="182">
        <v>36.90905802297324</v>
      </c>
      <c r="AC15" s="503"/>
      <c r="AD15" s="216">
        <v>2.3068161264358276</v>
      </c>
    </row>
    <row r="16" spans="1:30" s="46" customFormat="1" ht="12.75">
      <c r="A16" s="46" t="s">
        <v>786</v>
      </c>
      <c r="B16" s="216">
        <v>2.8874618429254197</v>
      </c>
      <c r="C16" s="503"/>
      <c r="D16" s="503">
        <v>0</v>
      </c>
      <c r="E16" s="503"/>
      <c r="F16" s="503">
        <v>2.8874618429254197</v>
      </c>
      <c r="G16" s="503"/>
      <c r="H16" s="503">
        <v>11</v>
      </c>
      <c r="I16" s="503"/>
      <c r="J16" s="503">
        <v>2.5698410402036234</v>
      </c>
      <c r="K16" s="503"/>
      <c r="L16" s="503">
        <v>0</v>
      </c>
      <c r="M16" s="503"/>
      <c r="N16" s="503">
        <v>34</v>
      </c>
      <c r="O16" s="503"/>
      <c r="P16" s="489">
        <f>(1/100)*41.26</f>
        <v>0.41259999999999997</v>
      </c>
      <c r="Q16" s="503"/>
      <c r="R16" s="216">
        <v>1.6960950865343913</v>
      </c>
      <c r="S16" s="503"/>
      <c r="T16" s="216">
        <v>0.07434937365630209</v>
      </c>
      <c r="U16" s="216"/>
      <c r="V16" s="216">
        <v>2.107767568469336</v>
      </c>
      <c r="W16" s="503"/>
      <c r="X16" s="503">
        <v>16</v>
      </c>
      <c r="Y16" s="503"/>
      <c r="Z16" s="503">
        <v>4.2</v>
      </c>
      <c r="AA16" s="503"/>
      <c r="AB16" s="182">
        <v>8.02959073702604</v>
      </c>
      <c r="AC16" s="503"/>
      <c r="AD16" s="216">
        <v>0.5018494210641276</v>
      </c>
    </row>
    <row r="17" spans="1:30" s="46" customFormat="1" ht="12.75">
      <c r="A17" s="275" t="s">
        <v>787</v>
      </c>
      <c r="B17" s="502">
        <v>69.40696501513818</v>
      </c>
      <c r="C17" s="500"/>
      <c r="D17" s="275"/>
      <c r="E17" s="500"/>
      <c r="F17" s="500">
        <v>69.40696501513818</v>
      </c>
      <c r="G17" s="500"/>
      <c r="H17" s="275"/>
      <c r="I17" s="500"/>
      <c r="J17" s="500">
        <v>61.772198863473</v>
      </c>
      <c r="K17" s="275"/>
      <c r="L17" s="275"/>
      <c r="M17" s="275"/>
      <c r="N17" s="275"/>
      <c r="O17" s="500"/>
      <c r="P17" s="501">
        <f>(1/100)*41.26</f>
        <v>0.41259999999999997</v>
      </c>
      <c r="Q17" s="275"/>
      <c r="R17" s="502">
        <v>40.76965124989218</v>
      </c>
      <c r="S17" s="500"/>
      <c r="T17" s="502">
        <v>1.7871627945158213</v>
      </c>
      <c r="U17" s="502"/>
      <c r="V17" s="502">
        <v>50.66517164312627</v>
      </c>
      <c r="W17" s="500"/>
      <c r="X17" s="500"/>
      <c r="Y17" s="500"/>
      <c r="Z17" s="500"/>
      <c r="AA17" s="500"/>
      <c r="AB17" s="324">
        <v>193.0101776881001</v>
      </c>
      <c r="AC17" s="500"/>
      <c r="AD17" s="502">
        <v>12.063136105506256</v>
      </c>
    </row>
    <row r="18" spans="2:30" s="46" customFormat="1" ht="13.5" thickBot="1">
      <c r="B18" s="216"/>
      <c r="C18" s="503"/>
      <c r="E18" s="503"/>
      <c r="F18" s="503"/>
      <c r="G18" s="503"/>
      <c r="I18" s="503"/>
      <c r="J18" s="503"/>
      <c r="O18" s="503"/>
      <c r="P18" s="489"/>
      <c r="R18" s="216"/>
      <c r="S18" s="503"/>
      <c r="T18" s="216"/>
      <c r="U18" s="216"/>
      <c r="V18" s="216"/>
      <c r="W18" s="503"/>
      <c r="X18" s="503"/>
      <c r="Y18" s="503"/>
      <c r="Z18" s="503"/>
      <c r="AA18" s="503"/>
      <c r="AB18" s="182"/>
      <c r="AC18" s="503"/>
      <c r="AD18" s="216"/>
    </row>
    <row r="19" spans="1:30" s="46" customFormat="1" ht="13.5" thickBot="1">
      <c r="A19" s="504" t="s">
        <v>788</v>
      </c>
      <c r="B19" s="513">
        <v>134.35436710314144</v>
      </c>
      <c r="C19" s="505"/>
      <c r="D19" s="508"/>
      <c r="E19" s="505"/>
      <c r="F19" s="505">
        <v>134.35436710314144</v>
      </c>
      <c r="G19" s="505"/>
      <c r="H19" s="508"/>
      <c r="I19" s="505"/>
      <c r="J19" s="505">
        <v>119.57538672179587</v>
      </c>
      <c r="K19" s="508"/>
      <c r="L19" s="508"/>
      <c r="M19" s="508"/>
      <c r="N19" s="508"/>
      <c r="O19" s="505"/>
      <c r="P19" s="506">
        <f>(1/100)*41.0766111283152</f>
        <v>0.410766111283152</v>
      </c>
      <c r="Q19" s="508"/>
      <c r="R19" s="513">
        <v>79.16622409031478</v>
      </c>
      <c r="S19" s="505"/>
      <c r="T19" s="513">
        <v>3.4703002340959905</v>
      </c>
      <c r="U19" s="513"/>
      <c r="V19" s="513">
        <v>98.3812764865043</v>
      </c>
      <c r="W19" s="505"/>
      <c r="X19" s="505"/>
      <c r="Y19" s="505"/>
      <c r="Z19" s="505"/>
      <c r="AA19" s="505"/>
      <c r="AB19" s="514">
        <v>374.78581518668295</v>
      </c>
      <c r="AC19" s="505"/>
      <c r="AD19" s="515">
        <v>23.424113449167685</v>
      </c>
    </row>
    <row r="20" spans="2:30" s="33" customFormat="1" ht="12.75">
      <c r="B20" s="440"/>
      <c r="C20" s="440"/>
      <c r="D20" s="440"/>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row>
  </sheetData>
  <sheetProtection/>
  <mergeCells count="30">
    <mergeCell ref="A3:A6"/>
    <mergeCell ref="B3:C6"/>
    <mergeCell ref="D3:E6"/>
    <mergeCell ref="F3:G6"/>
    <mergeCell ref="H3:I6"/>
    <mergeCell ref="J3:K6"/>
    <mergeCell ref="L3:O3"/>
    <mergeCell ref="P3:Q6"/>
    <mergeCell ref="R3:W6"/>
    <mergeCell ref="X3:Y6"/>
    <mergeCell ref="Z3:AA6"/>
    <mergeCell ref="AB3:AC6"/>
    <mergeCell ref="AD3:AE6"/>
    <mergeCell ref="L4:M6"/>
    <mergeCell ref="N4:O6"/>
    <mergeCell ref="B7:C7"/>
    <mergeCell ref="D7:E7"/>
    <mergeCell ref="F7:G7"/>
    <mergeCell ref="H7:I7"/>
    <mergeCell ref="J7:K7"/>
    <mergeCell ref="L7:M7"/>
    <mergeCell ref="N7:O7"/>
    <mergeCell ref="AB7:AC7"/>
    <mergeCell ref="AD7:AE7"/>
    <mergeCell ref="P7:Q7"/>
    <mergeCell ref="R7:S7"/>
    <mergeCell ref="T7:U7"/>
    <mergeCell ref="V7:W7"/>
    <mergeCell ref="X7:Y7"/>
    <mergeCell ref="Z7:AA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L19"/>
  <sheetViews>
    <sheetView zoomScalePageLayoutView="0" workbookViewId="0" topLeftCell="A1">
      <selection activeCell="K5" sqref="K5:K6"/>
    </sheetView>
  </sheetViews>
  <sheetFormatPr defaultColWidth="8.8515625" defaultRowHeight="12.75"/>
  <cols>
    <col min="1" max="8" width="8.8515625" style="0" customWidth="1"/>
    <col min="9" max="9" width="10.28125" style="0" bestFit="1" customWidth="1"/>
  </cols>
  <sheetData>
    <row r="1" ht="15.75">
      <c r="A1" s="1108" t="s">
        <v>454</v>
      </c>
    </row>
    <row r="2" spans="3:9" ht="12.75">
      <c r="C2" s="1351" t="s">
        <v>454</v>
      </c>
      <c r="D2" s="1352"/>
      <c r="E2" s="1352"/>
      <c r="F2" s="1352"/>
      <c r="G2" s="1352"/>
      <c r="H2" s="1352"/>
      <c r="I2" s="1352"/>
    </row>
    <row r="3" spans="3:9" ht="12.75">
      <c r="C3" s="276" t="s">
        <v>1324</v>
      </c>
      <c r="D3" s="276" t="s">
        <v>1325</v>
      </c>
      <c r="E3" s="276" t="s">
        <v>1326</v>
      </c>
      <c r="F3" s="276" t="s">
        <v>1327</v>
      </c>
      <c r="G3" s="276" t="s">
        <v>1328</v>
      </c>
      <c r="H3" s="1351" t="s">
        <v>1249</v>
      </c>
      <c r="I3" s="1351"/>
    </row>
    <row r="4" spans="3:11" ht="12.75">
      <c r="C4" s="1351" t="s">
        <v>1329</v>
      </c>
      <c r="D4" s="1352"/>
      <c r="E4" s="1352"/>
      <c r="F4" s="1352"/>
      <c r="G4" s="1352"/>
      <c r="H4" s="1352"/>
      <c r="I4" s="276" t="s">
        <v>170</v>
      </c>
      <c r="K4" t="s">
        <v>1251</v>
      </c>
    </row>
    <row r="5" spans="1:11" ht="12.75">
      <c r="A5" s="13" t="s">
        <v>1330</v>
      </c>
      <c r="C5" s="51">
        <v>3.9836438833260774</v>
      </c>
      <c r="D5" s="51">
        <v>4.029882363117378</v>
      </c>
      <c r="E5" s="51">
        <v>4.039308440487965</v>
      </c>
      <c r="F5" s="51">
        <v>4.216711509715994</v>
      </c>
      <c r="G5" s="51">
        <v>4.246957403651115</v>
      </c>
      <c r="H5" s="28">
        <f>AVERAGE(C5:G5)</f>
        <v>4.103300720059705</v>
      </c>
      <c r="I5" s="14">
        <f>H5*2000</f>
        <v>8206.60144011941</v>
      </c>
      <c r="K5" s="13" t="s">
        <v>1331</v>
      </c>
    </row>
    <row r="6" spans="1:11" ht="12.75">
      <c r="A6" s="13" t="s">
        <v>1332</v>
      </c>
      <c r="C6" s="51">
        <v>4.155596083231335</v>
      </c>
      <c r="D6" s="51">
        <v>3.8305779716466737</v>
      </c>
      <c r="E6" s="51">
        <v>4.35107363075807</v>
      </c>
      <c r="F6" s="51">
        <v>4.559952041174406</v>
      </c>
      <c r="G6" s="51">
        <v>4.493249369332193</v>
      </c>
      <c r="H6" s="28">
        <f>AVERAGE(C6:G6)</f>
        <v>4.278089819228535</v>
      </c>
      <c r="I6" s="14">
        <f>H6*2000</f>
        <v>8556.17963845707</v>
      </c>
      <c r="K6" s="13" t="s">
        <v>1333</v>
      </c>
    </row>
    <row r="7" ht="12.75">
      <c r="A7" s="13"/>
    </row>
    <row r="19" ht="12.75">
      <c r="L19" s="13"/>
    </row>
  </sheetData>
  <sheetProtection/>
  <mergeCells count="3">
    <mergeCell ref="C2:I2"/>
    <mergeCell ref="H3:I3"/>
    <mergeCell ref="C4:H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F10"/>
  <sheetViews>
    <sheetView zoomScalePageLayoutView="0" workbookViewId="0" topLeftCell="A1">
      <selection activeCell="C7" sqref="C7"/>
    </sheetView>
  </sheetViews>
  <sheetFormatPr defaultColWidth="8.8515625" defaultRowHeight="12.75"/>
  <cols>
    <col min="1" max="1" width="13.00390625" style="0" customWidth="1"/>
    <col min="2" max="2" width="11.140625" style="0" customWidth="1"/>
    <col min="3" max="3" width="14.00390625" style="0" customWidth="1"/>
  </cols>
  <sheetData>
    <row r="1" s="62" customFormat="1" ht="15.75">
      <c r="A1" s="603" t="s">
        <v>552</v>
      </c>
    </row>
    <row r="2" s="62" customFormat="1" ht="12.75">
      <c r="A2" s="46" t="s">
        <v>1319</v>
      </c>
    </row>
    <row r="4" spans="1:2" ht="12.75">
      <c r="A4" s="13" t="s">
        <v>548</v>
      </c>
      <c r="B4" s="14">
        <v>14500000</v>
      </c>
    </row>
    <row r="5" spans="2:6" ht="63.75" customHeight="1">
      <c r="B5" s="375" t="s">
        <v>789</v>
      </c>
      <c r="C5" s="375" t="s">
        <v>551</v>
      </c>
      <c r="D5" s="375" t="s">
        <v>532</v>
      </c>
      <c r="E5" s="1455" t="s">
        <v>550</v>
      </c>
      <c r="F5" s="1455"/>
    </row>
    <row r="6" spans="2:6" ht="12.75">
      <c r="B6" s="173" t="s">
        <v>549</v>
      </c>
      <c r="C6" s="173" t="s">
        <v>59</v>
      </c>
      <c r="D6" s="227" t="s">
        <v>170</v>
      </c>
      <c r="E6" s="173" t="s">
        <v>553</v>
      </c>
      <c r="F6" s="174" t="s">
        <v>554</v>
      </c>
    </row>
    <row r="7" spans="1:6" ht="12.75">
      <c r="A7" s="278" t="s">
        <v>535</v>
      </c>
      <c r="B7" s="370">
        <v>9.346793307705695</v>
      </c>
      <c r="C7" s="15">
        <f>B7*$B$4</f>
        <v>135528502.9617326</v>
      </c>
      <c r="D7" s="516">
        <f>GlobalY!C56</f>
        <v>465.3606300352</v>
      </c>
      <c r="E7" s="15">
        <f>C7/D7</f>
        <v>291233.2806311552</v>
      </c>
      <c r="F7" s="517">
        <f>E7/1000</f>
        <v>291.2332806311552</v>
      </c>
    </row>
    <row r="8" spans="1:6" ht="12.75">
      <c r="A8" s="13" t="s">
        <v>534</v>
      </c>
      <c r="B8" s="370">
        <v>0.9306001752659341</v>
      </c>
      <c r="C8" s="15">
        <f>B8*$B$4</f>
        <v>13493702.541356044</v>
      </c>
      <c r="D8" s="518">
        <f>GlobalY!C53</f>
        <v>1387.8738421832</v>
      </c>
      <c r="E8" s="15">
        <f>C8/D8</f>
        <v>9722.571411915746</v>
      </c>
      <c r="F8" s="290">
        <f>E8/1000</f>
        <v>9.722571411915746</v>
      </c>
    </row>
    <row r="9" spans="1:6" ht="12.75">
      <c r="A9" s="13" t="s">
        <v>790</v>
      </c>
      <c r="B9" s="370">
        <v>5.7985119630850885</v>
      </c>
      <c r="C9" s="15">
        <f>B9*$B$4</f>
        <v>84078423.46473378</v>
      </c>
      <c r="D9" s="518">
        <f>GlobalY!C54</f>
        <v>314.047050944</v>
      </c>
      <c r="E9" s="15">
        <f>C9/D9</f>
        <v>267725.56281614763</v>
      </c>
      <c r="F9" s="290">
        <f>E9/1000</f>
        <v>267.72556281614766</v>
      </c>
    </row>
    <row r="10" spans="1:6" ht="12.75">
      <c r="A10" s="367" t="s">
        <v>134</v>
      </c>
      <c r="B10" s="519"/>
      <c r="C10" s="520"/>
      <c r="D10" s="368"/>
      <c r="E10" s="521">
        <f>SUM(E7:E9)</f>
        <v>568681.4148592185</v>
      </c>
      <c r="F10" s="517">
        <f>E10/1000</f>
        <v>568.6814148592185</v>
      </c>
    </row>
  </sheetData>
  <sheetProtection/>
  <mergeCells count="1">
    <mergeCell ref="E5:F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S21"/>
  <sheetViews>
    <sheetView zoomScalePageLayoutView="0" workbookViewId="0" topLeftCell="A1">
      <selection activeCell="C18" sqref="C18"/>
    </sheetView>
  </sheetViews>
  <sheetFormatPr defaultColWidth="8.8515625" defaultRowHeight="12.75"/>
  <cols>
    <col min="1" max="1" width="28.28125" style="0" customWidth="1"/>
    <col min="2" max="6" width="8.8515625" style="0" customWidth="1"/>
    <col min="7" max="7" width="16.7109375" style="0" customWidth="1"/>
  </cols>
  <sheetData>
    <row r="1" s="33" customFormat="1" ht="15.75">
      <c r="A1" s="609" t="s">
        <v>332</v>
      </c>
    </row>
    <row r="2" s="33" customFormat="1" ht="12.75">
      <c r="A2" s="46" t="s">
        <v>833</v>
      </c>
    </row>
    <row r="4" spans="1:5" s="13" customFormat="1" ht="12.75">
      <c r="A4" s="309" t="s">
        <v>497</v>
      </c>
      <c r="B4" s="310"/>
      <c r="C4" s="311"/>
      <c r="D4" s="311"/>
      <c r="E4" s="311"/>
    </row>
    <row r="5" spans="1:5" s="13" customFormat="1" ht="12.75">
      <c r="A5" s="1456" t="s">
        <v>494</v>
      </c>
      <c r="B5" s="1459" t="s">
        <v>4</v>
      </c>
      <c r="C5" s="1462" t="s">
        <v>495</v>
      </c>
      <c r="D5" s="1465" t="s">
        <v>803</v>
      </c>
      <c r="E5" s="1462" t="s">
        <v>496</v>
      </c>
    </row>
    <row r="6" spans="1:5" s="13" customFormat="1" ht="12.75">
      <c r="A6" s="1457"/>
      <c r="B6" s="1460"/>
      <c r="C6" s="1463"/>
      <c r="D6" s="1466"/>
      <c r="E6" s="1463"/>
    </row>
    <row r="7" spans="1:5" s="13" customFormat="1" ht="12.75" hidden="1">
      <c r="A7" s="1458"/>
      <c r="B7" s="1461"/>
      <c r="C7" s="1464"/>
      <c r="D7" s="1467"/>
      <c r="E7" s="1464"/>
    </row>
    <row r="8" spans="1:19" s="188" customFormat="1" ht="12.75">
      <c r="A8" s="562">
        <v>2004</v>
      </c>
      <c r="B8" s="563">
        <v>21.713748585352363</v>
      </c>
      <c r="C8" s="322">
        <v>2.270461467025388</v>
      </c>
      <c r="D8" s="322">
        <v>1.35347019177061</v>
      </c>
      <c r="E8" s="322">
        <v>25.337680244148363</v>
      </c>
      <c r="F8" s="314"/>
      <c r="G8" s="314"/>
      <c r="H8" s="314"/>
      <c r="I8" s="314"/>
      <c r="J8" s="314"/>
      <c r="K8" s="314"/>
      <c r="L8" s="314"/>
      <c r="M8" s="314"/>
      <c r="N8" s="314"/>
      <c r="O8" s="314"/>
      <c r="P8" s="314"/>
      <c r="Q8" s="314"/>
      <c r="R8" s="314"/>
      <c r="S8" s="314"/>
    </row>
    <row r="9" spans="1:19" s="188" customFormat="1" ht="11.25" customHeight="1">
      <c r="A9" s="313">
        <v>2005</v>
      </c>
      <c r="B9" s="564">
        <v>21.497536871032484</v>
      </c>
      <c r="C9" s="314">
        <v>2.34131025405923</v>
      </c>
      <c r="D9" s="314">
        <v>1.38294284034254</v>
      </c>
      <c r="E9" s="314">
        <v>25.221789965434255</v>
      </c>
      <c r="F9" s="314"/>
      <c r="G9" s="314"/>
      <c r="H9" s="314"/>
      <c r="I9" s="314"/>
      <c r="J9" s="314"/>
      <c r="K9" s="314"/>
      <c r="L9" s="314"/>
      <c r="M9" s="314"/>
      <c r="N9" s="314"/>
      <c r="O9" s="314"/>
      <c r="P9" s="314"/>
      <c r="Q9" s="314"/>
      <c r="R9" s="314"/>
      <c r="S9" s="314"/>
    </row>
    <row r="10" spans="1:19" s="188" customFormat="1" ht="11.25" customHeight="1">
      <c r="A10" s="313">
        <v>2006</v>
      </c>
      <c r="B10" s="564">
        <v>21.77444153985911</v>
      </c>
      <c r="C10" s="314">
        <v>2.4031129865298313</v>
      </c>
      <c r="D10" s="314">
        <v>1.4244207966181668</v>
      </c>
      <c r="E10" s="314">
        <v>25.60197532300711</v>
      </c>
      <c r="F10" s="314"/>
      <c r="G10" s="314"/>
      <c r="H10" s="314"/>
      <c r="I10" s="314"/>
      <c r="J10" s="314"/>
      <c r="K10" s="314"/>
      <c r="L10" s="314"/>
      <c r="M10" s="314"/>
      <c r="N10" s="314"/>
      <c r="O10" s="314"/>
      <c r="P10" s="314"/>
      <c r="Q10" s="314"/>
      <c r="R10" s="314"/>
      <c r="S10" s="314"/>
    </row>
    <row r="11" spans="1:19" s="188" customFormat="1" ht="11.25" customHeight="1">
      <c r="A11" s="313">
        <v>2007</v>
      </c>
      <c r="B11" s="564">
        <v>21.8031169039387</v>
      </c>
      <c r="C11" s="314">
        <v>2.472700720236317</v>
      </c>
      <c r="D11" s="314">
        <v>1.4304453217829998</v>
      </c>
      <c r="E11" s="314">
        <v>25.70626294595802</v>
      </c>
      <c r="F11" s="314"/>
      <c r="G11" s="314"/>
      <c r="H11" s="314"/>
      <c r="I11" s="314"/>
      <c r="J11" s="314"/>
      <c r="K11" s="314"/>
      <c r="L11" s="314"/>
      <c r="M11" s="314"/>
      <c r="N11" s="314"/>
      <c r="O11" s="314"/>
      <c r="P11" s="314"/>
      <c r="Q11" s="314"/>
      <c r="R11" s="314"/>
      <c r="S11" s="314"/>
    </row>
    <row r="12" spans="1:19" s="188" customFormat="1" ht="11.25" customHeight="1">
      <c r="A12" s="315">
        <v>2008</v>
      </c>
      <c r="B12" s="565">
        <v>21.73284668174128</v>
      </c>
      <c r="C12" s="316">
        <v>2.476484904295205</v>
      </c>
      <c r="D12" s="316">
        <v>1.442424787870815</v>
      </c>
      <c r="E12" s="316">
        <v>25.6517563739073</v>
      </c>
      <c r="F12" s="314"/>
      <c r="G12" s="314"/>
      <c r="H12" s="314"/>
      <c r="I12" s="314"/>
      <c r="J12" s="314"/>
      <c r="K12" s="314"/>
      <c r="L12" s="314"/>
      <c r="M12" s="314"/>
      <c r="N12" s="314"/>
      <c r="O12" s="314"/>
      <c r="P12" s="314"/>
      <c r="Q12" s="314"/>
      <c r="R12" s="314"/>
      <c r="S12" s="314"/>
    </row>
    <row r="13" spans="1:19" s="188" customFormat="1" ht="11.25" customHeight="1">
      <c r="A13" s="323" t="s">
        <v>504</v>
      </c>
      <c r="B13" s="564">
        <f>AVERAGE(B8:B12)</f>
        <v>21.704338116384786</v>
      </c>
      <c r="C13" s="314">
        <f>AVERAGE(C8:C12)</f>
        <v>2.3928140664291946</v>
      </c>
      <c r="D13" s="314">
        <f>AVERAGE(D8:D12)</f>
        <v>1.4067407876770264</v>
      </c>
      <c r="E13" s="563">
        <f>AVERAGE(E8:E12)</f>
        <v>25.50389297049101</v>
      </c>
      <c r="F13" s="314"/>
      <c r="G13" s="314"/>
      <c r="H13" s="314"/>
      <c r="I13" s="314"/>
      <c r="J13" s="314"/>
      <c r="K13" s="314"/>
      <c r="L13" s="314"/>
      <c r="M13" s="314"/>
      <c r="N13" s="314"/>
      <c r="O13" s="314"/>
      <c r="P13" s="314"/>
      <c r="Q13" s="314"/>
      <c r="R13" s="314"/>
      <c r="S13" s="314"/>
    </row>
    <row r="14" spans="1:19" s="188" customFormat="1" ht="11.25" customHeight="1">
      <c r="A14" s="323" t="s">
        <v>503</v>
      </c>
      <c r="B14" s="566">
        <f>B13*128</f>
        <v>2778.1552788972526</v>
      </c>
      <c r="C14" s="317">
        <f>C13*128</f>
        <v>306.2802005029369</v>
      </c>
      <c r="D14" s="317">
        <f>D13*128</f>
        <v>180.06282082265938</v>
      </c>
      <c r="E14" s="566">
        <f>E13*128</f>
        <v>3264.498300222849</v>
      </c>
      <c r="F14" s="318" t="s">
        <v>498</v>
      </c>
      <c r="G14" s="314"/>
      <c r="H14" s="314"/>
      <c r="I14" s="314"/>
      <c r="J14" s="314"/>
      <c r="K14" s="314"/>
      <c r="L14" s="314"/>
      <c r="M14" s="314"/>
      <c r="N14" s="314"/>
      <c r="O14" s="314"/>
      <c r="P14" s="314"/>
      <c r="Q14" s="314"/>
      <c r="R14" s="314"/>
      <c r="S14" s="314"/>
    </row>
    <row r="15" spans="1:19" s="188" customFormat="1" ht="11.25" customHeight="1">
      <c r="A15" s="323" t="s">
        <v>505</v>
      </c>
      <c r="B15" s="564">
        <v>12</v>
      </c>
      <c r="C15" s="314">
        <v>3.5</v>
      </c>
      <c r="D15" s="314">
        <v>1.5</v>
      </c>
      <c r="E15" s="564"/>
      <c r="F15" s="318"/>
      <c r="G15" s="314"/>
      <c r="H15" s="314"/>
      <c r="I15" s="314"/>
      <c r="J15" s="314"/>
      <c r="K15" s="314"/>
      <c r="L15" s="314"/>
      <c r="M15" s="314"/>
      <c r="N15" s="314"/>
      <c r="O15" s="314"/>
      <c r="P15" s="314"/>
      <c r="Q15" s="314"/>
      <c r="R15" s="314"/>
      <c r="S15" s="314"/>
    </row>
    <row r="16" spans="1:19" s="188" customFormat="1" ht="11.25" customHeight="1">
      <c r="A16" s="323" t="s">
        <v>499</v>
      </c>
      <c r="B16" s="567">
        <f>B14/B15</f>
        <v>231.51293990810439</v>
      </c>
      <c r="C16" s="319">
        <f>C14/C15</f>
        <v>87.50862871512483</v>
      </c>
      <c r="D16" s="319">
        <f>D14/D15</f>
        <v>120.04188054843958</v>
      </c>
      <c r="E16" s="564"/>
      <c r="F16" s="318" t="s">
        <v>500</v>
      </c>
      <c r="G16" s="314"/>
      <c r="H16" s="314"/>
      <c r="I16" s="314"/>
      <c r="J16" s="314"/>
      <c r="K16" s="314"/>
      <c r="L16" s="314"/>
      <c r="M16" s="314"/>
      <c r="N16" s="314"/>
      <c r="O16" s="314"/>
      <c r="P16" s="314"/>
      <c r="Q16" s="314"/>
      <c r="R16" s="314"/>
      <c r="S16" s="314"/>
    </row>
    <row r="17" spans="1:19" s="188" customFormat="1" ht="11.25" customHeight="1">
      <c r="A17" s="323" t="s">
        <v>501</v>
      </c>
      <c r="B17" s="525">
        <f>B16/365</f>
        <v>0.6342820271454914</v>
      </c>
      <c r="C17" s="320">
        <f>C16/365</f>
        <v>0.23974966771267076</v>
      </c>
      <c r="D17" s="320">
        <f>D16/365</f>
        <v>0.3288818645162728</v>
      </c>
      <c r="E17" s="568">
        <f>D17+C17+B17</f>
        <v>1.202913559374435</v>
      </c>
      <c r="F17" s="318"/>
      <c r="G17" s="314"/>
      <c r="H17" s="314"/>
      <c r="I17" s="314"/>
      <c r="J17" s="314"/>
      <c r="K17" s="314"/>
      <c r="L17" s="314"/>
      <c r="M17" s="314"/>
      <c r="N17" s="314"/>
      <c r="O17" s="314"/>
      <c r="P17" s="314"/>
      <c r="Q17" s="314"/>
      <c r="R17" s="314"/>
      <c r="S17" s="314"/>
    </row>
    <row r="18" spans="1:19" s="188" customFormat="1" ht="11.25" customHeight="1">
      <c r="A18" s="323" t="s">
        <v>1384</v>
      </c>
      <c r="B18">
        <v>225</v>
      </c>
      <c r="C18">
        <v>25</v>
      </c>
      <c r="D18">
        <v>14</v>
      </c>
      <c r="F18" s="318"/>
      <c r="G18" s="314"/>
      <c r="H18" s="314"/>
      <c r="I18" s="314"/>
      <c r="J18" s="314"/>
      <c r="K18" s="314"/>
      <c r="L18" s="314"/>
      <c r="M18" s="314"/>
      <c r="N18" s="314"/>
      <c r="O18" s="314"/>
      <c r="P18" s="314"/>
      <c r="Q18" s="314"/>
      <c r="R18" s="314"/>
      <c r="S18" s="314"/>
    </row>
    <row r="19" spans="1:19" s="188" customFormat="1" ht="11.25" customHeight="1">
      <c r="A19" s="323" t="s">
        <v>472</v>
      </c>
      <c r="B19">
        <v>81</v>
      </c>
      <c r="C19">
        <v>20.875</v>
      </c>
      <c r="D19">
        <v>32.34</v>
      </c>
      <c r="E19" s="1239">
        <f>SUM(B19:D19)</f>
        <v>134.215</v>
      </c>
      <c r="F19" s="318"/>
      <c r="G19" s="314"/>
      <c r="H19" s="314"/>
      <c r="I19" s="314"/>
      <c r="J19" s="314"/>
      <c r="K19" s="314"/>
      <c r="L19" s="314"/>
      <c r="M19" s="314"/>
      <c r="N19" s="314"/>
      <c r="O19" s="314"/>
      <c r="P19" s="314"/>
      <c r="Q19" s="314"/>
      <c r="R19" s="314"/>
      <c r="S19" s="314"/>
    </row>
    <row r="20" s="13" customFormat="1" ht="12.75"/>
    <row r="21" s="13" customFormat="1" ht="12.75">
      <c r="A21" s="321" t="s">
        <v>502</v>
      </c>
    </row>
  </sheetData>
  <sheetProtection/>
  <mergeCells count="5">
    <mergeCell ref="A5:A7"/>
    <mergeCell ref="B5:B7"/>
    <mergeCell ref="C5:C7"/>
    <mergeCell ref="D5:D7"/>
    <mergeCell ref="E5:E7"/>
  </mergeCells>
  <printOption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dimension ref="A1:J28"/>
  <sheetViews>
    <sheetView zoomScalePageLayoutView="0" workbookViewId="0" topLeftCell="A1">
      <selection activeCell="A1" sqref="A1:IV2"/>
    </sheetView>
  </sheetViews>
  <sheetFormatPr defaultColWidth="8.8515625" defaultRowHeight="12.75"/>
  <cols>
    <col min="1" max="1" width="27.28125" style="0" customWidth="1"/>
    <col min="2" max="2" width="12.140625" style="0" customWidth="1"/>
    <col min="3" max="3" width="9.8515625" style="0" customWidth="1"/>
    <col min="4" max="4" width="11.28125" style="0" bestFit="1" customWidth="1"/>
    <col min="5" max="6" width="8.8515625" style="0" customWidth="1"/>
    <col min="7" max="7" width="13.140625" style="0" customWidth="1"/>
    <col min="8" max="8" width="10.00390625" style="0" customWidth="1"/>
  </cols>
  <sheetData>
    <row r="1" spans="1:7" s="33" customFormat="1" ht="15.75">
      <c r="A1" s="609" t="s">
        <v>555</v>
      </c>
      <c r="B1" s="609"/>
      <c r="G1" s="609"/>
    </row>
    <row r="2" spans="1:7" s="33" customFormat="1" ht="12.75">
      <c r="A2" s="46" t="s">
        <v>1318</v>
      </c>
      <c r="B2" s="46"/>
      <c r="G2" s="46"/>
    </row>
    <row r="3" spans="1:2" ht="12.75">
      <c r="A3" s="13" t="s">
        <v>658</v>
      </c>
      <c r="B3" s="15">
        <f>304.5973126*1000000</f>
        <v>304597312.6</v>
      </c>
    </row>
    <row r="4" spans="1:2" ht="12.75">
      <c r="A4" s="13" t="s">
        <v>659</v>
      </c>
      <c r="B4" s="15">
        <v>14500000</v>
      </c>
    </row>
    <row r="5" spans="2:10" ht="51">
      <c r="B5" s="1443" t="s">
        <v>657</v>
      </c>
      <c r="C5" s="1443"/>
      <c r="D5" s="333" t="s">
        <v>652</v>
      </c>
      <c r="E5" s="333" t="s">
        <v>651</v>
      </c>
      <c r="F5" s="333" t="s">
        <v>653</v>
      </c>
      <c r="G5" s="339" t="s">
        <v>1313</v>
      </c>
      <c r="H5" s="375" t="s">
        <v>1314</v>
      </c>
      <c r="I5" s="1468" t="s">
        <v>550</v>
      </c>
      <c r="J5" s="1469"/>
    </row>
    <row r="6" spans="2:10" ht="13.5" customHeight="1">
      <c r="B6" s="375" t="s">
        <v>654</v>
      </c>
      <c r="C6" s="375" t="s">
        <v>508</v>
      </c>
      <c r="D6" s="375" t="s">
        <v>33</v>
      </c>
      <c r="E6" s="375" t="s">
        <v>33</v>
      </c>
      <c r="F6" s="375" t="s">
        <v>33</v>
      </c>
      <c r="G6" s="375" t="s">
        <v>508</v>
      </c>
      <c r="H6" s="375" t="s">
        <v>33</v>
      </c>
      <c r="I6" s="371" t="s">
        <v>191</v>
      </c>
      <c r="J6" s="1155" t="s">
        <v>942</v>
      </c>
    </row>
    <row r="7" spans="1:10" ht="12.75">
      <c r="A7" t="s">
        <v>539</v>
      </c>
      <c r="B7" s="51">
        <f aca="true" t="shared" si="0" ref="B7:B18">C7/$B$3</f>
        <v>0.00048578578254600133</v>
      </c>
      <c r="C7" s="14">
        <f aca="true" t="shared" si="1" ref="C7:C18">D7+E7-F7</f>
        <v>147969.0438628</v>
      </c>
      <c r="D7" s="14"/>
      <c r="E7" s="14">
        <v>147969.0438628</v>
      </c>
      <c r="F7" s="14"/>
      <c r="G7" s="14">
        <f>B7*$B$4</f>
        <v>7043.893846917019</v>
      </c>
      <c r="H7" s="14">
        <f>GlobalY!C36</f>
        <v>627.648012327</v>
      </c>
      <c r="I7" s="25">
        <f aca="true" t="shared" si="2" ref="I7:I13">G7/H7</f>
        <v>11.22268167599518</v>
      </c>
      <c r="J7" s="1040">
        <f>I7/1000</f>
        <v>0.01122268167599518</v>
      </c>
    </row>
    <row r="8" spans="1:10" ht="12.75">
      <c r="A8" t="s">
        <v>536</v>
      </c>
      <c r="B8" s="51">
        <f t="shared" si="0"/>
        <v>1.357791681291413E-05</v>
      </c>
      <c r="C8" s="14">
        <f t="shared" si="1"/>
        <v>4135.796971920001</v>
      </c>
      <c r="D8" s="14"/>
      <c r="E8" s="14">
        <v>4135.796971920001</v>
      </c>
      <c r="F8" s="14"/>
      <c r="G8" s="14">
        <f aca="true" t="shared" si="3" ref="G8:G20">B8*$B$4</f>
        <v>196.87979378725487</v>
      </c>
      <c r="H8" s="14">
        <f>GlobalY!C33</f>
        <v>207.9669533382</v>
      </c>
      <c r="I8" s="25">
        <f t="shared" si="2"/>
        <v>0.9466878781797848</v>
      </c>
      <c r="J8" s="1040">
        <f aca="true" t="shared" si="4" ref="J8:J18">I8/1000</f>
        <v>0.0009466878781797848</v>
      </c>
    </row>
    <row r="9" spans="1:10" ht="12.75">
      <c r="A9" t="s">
        <v>545</v>
      </c>
      <c r="B9" s="51">
        <f t="shared" si="0"/>
        <v>0.0002854817037664173</v>
      </c>
      <c r="C9" s="14">
        <f t="shared" si="1"/>
        <v>86956.95976372</v>
      </c>
      <c r="D9" s="14"/>
      <c r="E9" s="14">
        <v>86956.95976372</v>
      </c>
      <c r="F9" s="14"/>
      <c r="G9" s="14">
        <f t="shared" si="3"/>
        <v>4139.484704613051</v>
      </c>
      <c r="H9" s="14">
        <f>GlobalY!C43</f>
        <v>4434.6655438132</v>
      </c>
      <c r="I9" s="25">
        <f t="shared" si="2"/>
        <v>0.9334378576504025</v>
      </c>
      <c r="J9" s="1040">
        <f t="shared" si="4"/>
        <v>0.0009334378576504026</v>
      </c>
    </row>
    <row r="10" spans="1:10" ht="12.75">
      <c r="A10" s="13" t="s">
        <v>655</v>
      </c>
      <c r="B10" s="52">
        <f t="shared" si="0"/>
        <v>0.0001599737910709328</v>
      </c>
      <c r="C10" s="14">
        <f t="shared" si="1"/>
        <v>48727.586846640006</v>
      </c>
      <c r="D10" s="14"/>
      <c r="E10" s="374">
        <v>48727.586846640006</v>
      </c>
      <c r="F10" s="14"/>
      <c r="G10" s="14">
        <f t="shared" si="3"/>
        <v>2319.6199705285253</v>
      </c>
      <c r="H10" s="14">
        <f>GlobalY!C40</f>
        <v>478.3864452164</v>
      </c>
      <c r="I10" s="25">
        <f t="shared" si="2"/>
        <v>4.848841336796732</v>
      </c>
      <c r="J10" s="1040">
        <f t="shared" si="4"/>
        <v>0.004848841336796732</v>
      </c>
    </row>
    <row r="11" spans="1:10" ht="12.75">
      <c r="A11" t="s">
        <v>541</v>
      </c>
      <c r="B11" s="52">
        <f t="shared" si="0"/>
        <v>0.0008995113741828857</v>
      </c>
      <c r="C11" s="14">
        <f>D11+E11-F11</f>
        <v>273988.74722924</v>
      </c>
      <c r="D11" s="14">
        <v>103043.8</v>
      </c>
      <c r="E11" s="14">
        <v>170944.94722924</v>
      </c>
      <c r="F11" s="14"/>
      <c r="G11" s="14">
        <f t="shared" si="3"/>
        <v>13042.914925651843</v>
      </c>
      <c r="H11" s="1054">
        <f>GlobalY!C38</f>
        <v>1584.510120672</v>
      </c>
      <c r="I11" s="291">
        <f t="shared" si="2"/>
        <v>8.231512538474835</v>
      </c>
      <c r="J11" s="1040">
        <f t="shared" si="4"/>
        <v>0.008231512538474834</v>
      </c>
    </row>
    <row r="12" spans="1:10" ht="12.75">
      <c r="A12" t="s">
        <v>543</v>
      </c>
      <c r="B12" s="51">
        <f t="shared" si="0"/>
        <v>9.829106915764692E-06</v>
      </c>
      <c r="C12" s="14">
        <f t="shared" si="1"/>
        <v>2993.9195518</v>
      </c>
      <c r="D12" s="14"/>
      <c r="E12" s="14">
        <v>2993.9195518</v>
      </c>
      <c r="F12" s="14"/>
      <c r="G12" s="14">
        <f t="shared" si="3"/>
        <v>142.52205027858804</v>
      </c>
      <c r="H12" s="14">
        <f>GlobalY!C41</f>
        <v>268.0106082488</v>
      </c>
      <c r="I12" s="25">
        <f t="shared" si="2"/>
        <v>0.5317776457052841</v>
      </c>
      <c r="J12" s="1040">
        <f t="shared" si="4"/>
        <v>0.000531777645705284</v>
      </c>
    </row>
    <row r="13" spans="1:10" ht="12.75">
      <c r="A13" t="s">
        <v>544</v>
      </c>
      <c r="B13" s="51">
        <f t="shared" si="0"/>
        <v>7.646487916939028E-05</v>
      </c>
      <c r="C13" s="14">
        <f t="shared" si="1"/>
        <v>23290.99670328</v>
      </c>
      <c r="D13" s="14"/>
      <c r="E13" s="14">
        <f>4293.1851296+0+8492.39301132+10505.41856236</f>
        <v>23290.99670328</v>
      </c>
      <c r="F13" s="14"/>
      <c r="G13" s="14">
        <f t="shared" si="3"/>
        <v>1108.7407479561589</v>
      </c>
      <c r="H13" s="14">
        <f>GlobalY!C42</f>
        <v>699.468431648</v>
      </c>
      <c r="I13" s="25">
        <f t="shared" si="2"/>
        <v>1.585119067266385</v>
      </c>
      <c r="J13" s="1040">
        <f t="shared" si="4"/>
        <v>0.001585119067266385</v>
      </c>
    </row>
    <row r="14" spans="1:10" ht="12.75">
      <c r="A14" s="13" t="s">
        <v>656</v>
      </c>
      <c r="B14" s="51">
        <f t="shared" si="0"/>
        <v>7.007878131200557E-05</v>
      </c>
      <c r="C14" s="14">
        <f t="shared" si="1"/>
        <v>21345.80845792</v>
      </c>
      <c r="D14" s="14"/>
      <c r="E14" s="14">
        <v>21345.80845792</v>
      </c>
      <c r="F14" s="14"/>
      <c r="G14" s="14">
        <f t="shared" si="3"/>
        <v>1016.1423290240808</v>
      </c>
      <c r="H14" s="15"/>
      <c r="I14" s="25"/>
      <c r="J14" s="1040"/>
    </row>
    <row r="15" spans="1:10" ht="12.75">
      <c r="A15" t="s">
        <v>546</v>
      </c>
      <c r="B15" s="51">
        <f t="shared" si="0"/>
        <v>0.0007214575327845489</v>
      </c>
      <c r="C15" s="14">
        <f t="shared" si="1"/>
        <v>219754.02564120002</v>
      </c>
      <c r="D15" s="14">
        <v>39074</v>
      </c>
      <c r="E15" s="14">
        <v>180680.02564120002</v>
      </c>
      <c r="F15" s="14"/>
      <c r="G15" s="14">
        <f t="shared" si="3"/>
        <v>10461.13422537596</v>
      </c>
      <c r="H15" s="14">
        <f>GlobalY!C44</f>
        <v>651.0231053234</v>
      </c>
      <c r="I15" s="25">
        <f>G15/H15</f>
        <v>16.06876029412093</v>
      </c>
      <c r="J15" s="1040">
        <f t="shared" si="4"/>
        <v>0.01606876029412093</v>
      </c>
    </row>
    <row r="16" spans="1:10" ht="12.75">
      <c r="A16" t="s">
        <v>547</v>
      </c>
      <c r="B16" s="51">
        <f t="shared" si="0"/>
        <v>0</v>
      </c>
      <c r="C16" s="14">
        <f t="shared" si="1"/>
        <v>0</v>
      </c>
      <c r="D16" s="14"/>
      <c r="E16" s="14"/>
      <c r="F16" s="14"/>
      <c r="G16" s="14">
        <f t="shared" si="3"/>
        <v>0</v>
      </c>
      <c r="H16" s="14">
        <f>GlobalY!C45</f>
        <v>358.0314816586</v>
      </c>
      <c r="I16" s="25"/>
      <c r="J16" s="1040"/>
    </row>
    <row r="17" spans="1:10" ht="12.75">
      <c r="A17" t="s">
        <v>537</v>
      </c>
      <c r="B17" s="51">
        <f t="shared" si="0"/>
        <v>0.0002817826649989951</v>
      </c>
      <c r="C17" s="14">
        <f t="shared" si="1"/>
        <v>85830.24249596</v>
      </c>
      <c r="D17" s="14"/>
      <c r="E17" s="15">
        <v>85830.24249596</v>
      </c>
      <c r="F17" s="14"/>
      <c r="G17" s="14">
        <f t="shared" si="3"/>
        <v>4085.848642485429</v>
      </c>
      <c r="H17" s="14">
        <f>GlobalY!C34</f>
        <v>541.3742912296</v>
      </c>
      <c r="I17" s="25">
        <f>G17/H17</f>
        <v>7.547178927180709</v>
      </c>
      <c r="J17" s="1040">
        <f t="shared" si="4"/>
        <v>0.007547178927180709</v>
      </c>
    </row>
    <row r="18" spans="1:10" ht="12.75">
      <c r="A18" t="s">
        <v>538</v>
      </c>
      <c r="B18" s="51">
        <f t="shared" si="0"/>
        <v>3.6363505653332544E-05</v>
      </c>
      <c r="C18" s="14">
        <f t="shared" si="1"/>
        <v>11076.22609872</v>
      </c>
      <c r="D18" s="14"/>
      <c r="E18" s="14">
        <v>11076.22609872</v>
      </c>
      <c r="F18" s="14"/>
      <c r="G18" s="14">
        <f t="shared" si="3"/>
        <v>527.2708319733218</v>
      </c>
      <c r="H18" s="14">
        <f>GlobalY!C35</f>
        <v>632.0196900248</v>
      </c>
      <c r="I18" s="25">
        <f>G18/H18</f>
        <v>0.8342632995383927</v>
      </c>
      <c r="J18" s="1040">
        <f t="shared" si="4"/>
        <v>0.0008342632995383927</v>
      </c>
    </row>
    <row r="19" spans="1:10" ht="12.75">
      <c r="A19" t="s">
        <v>540</v>
      </c>
      <c r="B19" s="51">
        <f>C19/$B$3</f>
        <v>0</v>
      </c>
      <c r="C19" s="14">
        <f>D19+E19-F19</f>
        <v>0</v>
      </c>
      <c r="D19" s="14"/>
      <c r="E19" s="14"/>
      <c r="F19" s="14"/>
      <c r="G19" s="14">
        <f t="shared" si="3"/>
        <v>0</v>
      </c>
      <c r="H19" s="14">
        <f>GlobalY!C35</f>
        <v>632.0196900248</v>
      </c>
      <c r="J19" s="1040"/>
    </row>
    <row r="20" spans="1:10" ht="12.75">
      <c r="A20" t="s">
        <v>542</v>
      </c>
      <c r="B20" s="51">
        <f>C20/$B$3</f>
        <v>0</v>
      </c>
      <c r="C20" s="14">
        <f>D20+E20-F20</f>
        <v>0</v>
      </c>
      <c r="D20" s="14"/>
      <c r="E20" s="14"/>
      <c r="F20" s="14"/>
      <c r="G20" s="14">
        <f t="shared" si="3"/>
        <v>0</v>
      </c>
      <c r="H20" s="14">
        <f>GlobalY!C39</f>
        <v>10754.6840082368</v>
      </c>
      <c r="J20" s="1040"/>
    </row>
    <row r="21" spans="1:10" ht="12.75">
      <c r="A21" s="11" t="s">
        <v>134</v>
      </c>
      <c r="B21" s="1157"/>
      <c r="C21" s="1022"/>
      <c r="D21" s="11"/>
      <c r="E21" s="11"/>
      <c r="F21" s="11"/>
      <c r="G21" s="11"/>
      <c r="H21" s="11"/>
      <c r="I21" s="1158">
        <f>SUM(I7:I20)</f>
        <v>52.75026052090864</v>
      </c>
      <c r="J21" s="1156">
        <f>I21/1000</f>
        <v>0.05275026052090864</v>
      </c>
    </row>
    <row r="23" ht="12.75">
      <c r="A23" s="188" t="s">
        <v>1266</v>
      </c>
    </row>
    <row r="24" ht="12.75">
      <c r="A24" s="13" t="s">
        <v>1315</v>
      </c>
    </row>
    <row r="25" ht="12.75">
      <c r="A25" s="13" t="s">
        <v>1316</v>
      </c>
    </row>
    <row r="26" ht="12.75">
      <c r="A26" s="13"/>
    </row>
    <row r="27" ht="12.75">
      <c r="A27" s="13" t="s">
        <v>1281</v>
      </c>
    </row>
    <row r="28" ht="12.75">
      <c r="A28" s="13" t="s">
        <v>1317</v>
      </c>
    </row>
  </sheetData>
  <sheetProtection/>
  <mergeCells count="2">
    <mergeCell ref="B5:C5"/>
    <mergeCell ref="I5:J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I191"/>
  <sheetViews>
    <sheetView zoomScalePageLayoutView="0" workbookViewId="0" topLeftCell="A1">
      <selection activeCell="L11" sqref="L11"/>
    </sheetView>
  </sheetViews>
  <sheetFormatPr defaultColWidth="11.421875" defaultRowHeight="12.75"/>
  <cols>
    <col min="1" max="1" width="13.8515625" style="33" customWidth="1"/>
    <col min="2" max="5" width="9.140625" style="33" customWidth="1"/>
    <col min="6" max="7" width="10.28125" style="33" customWidth="1"/>
    <col min="8" max="9" width="9.140625" style="33" customWidth="1"/>
    <col min="10" max="16384" width="11.421875" style="33" customWidth="1"/>
  </cols>
  <sheetData>
    <row r="1" spans="1:2" ht="18">
      <c r="A1" s="412" t="s">
        <v>531</v>
      </c>
      <c r="B1" s="412" t="s">
        <v>1284</v>
      </c>
    </row>
    <row r="2" spans="1:2" s="46" customFormat="1" ht="12.75">
      <c r="A2" s="13" t="s">
        <v>1285</v>
      </c>
      <c r="B2" s="8"/>
    </row>
    <row r="3" spans="1:2" s="46" customFormat="1" ht="12.75">
      <c r="A3" s="13"/>
      <c r="B3" s="8"/>
    </row>
    <row r="4" spans="1:9" ht="30" customHeight="1">
      <c r="A4" s="31" t="s">
        <v>1286</v>
      </c>
      <c r="B4" s="1433" t="s">
        <v>1287</v>
      </c>
      <c r="C4" s="1433"/>
      <c r="D4" s="1433" t="s">
        <v>1288</v>
      </c>
      <c r="E4" s="1433"/>
      <c r="F4" s="1470" t="s">
        <v>1289</v>
      </c>
      <c r="G4" s="1471"/>
      <c r="H4" s="1433" t="s">
        <v>1290</v>
      </c>
      <c r="I4" s="1433"/>
    </row>
    <row r="5" spans="2:9" ht="12.75">
      <c r="B5" s="1148" t="s">
        <v>1291</v>
      </c>
      <c r="C5" s="1148" t="s">
        <v>170</v>
      </c>
      <c r="D5" s="1148" t="s">
        <v>1291</v>
      </c>
      <c r="E5" s="1148" t="s">
        <v>170</v>
      </c>
      <c r="F5" s="1148" t="s">
        <v>1291</v>
      </c>
      <c r="G5" s="1148" t="s">
        <v>170</v>
      </c>
      <c r="H5" s="1148" t="s">
        <v>1291</v>
      </c>
      <c r="I5" s="1148" t="s">
        <v>170</v>
      </c>
    </row>
    <row r="6" spans="2:9" ht="12.75">
      <c r="B6" s="1149"/>
      <c r="C6" s="1150">
        <v>0.0892179122</v>
      </c>
      <c r="D6" s="1151"/>
      <c r="E6" s="1150">
        <v>0.0892179122</v>
      </c>
      <c r="F6" s="1149"/>
      <c r="G6" s="1150">
        <v>0.0892179122</v>
      </c>
      <c r="H6" s="1149"/>
      <c r="I6" s="1150">
        <v>0.0892179122</v>
      </c>
    </row>
    <row r="7" spans="1:8" ht="15">
      <c r="A7" s="1152" t="s">
        <v>470</v>
      </c>
      <c r="B7" s="1149"/>
      <c r="D7" s="1149"/>
      <c r="F7" s="1149"/>
      <c r="H7" s="1149"/>
    </row>
    <row r="8" spans="1:9" ht="12.75">
      <c r="A8" t="s">
        <v>1292</v>
      </c>
      <c r="B8" s="1153">
        <v>22338</v>
      </c>
      <c r="C8" s="1">
        <f>B8*$C$6</f>
        <v>1992.9497227236</v>
      </c>
      <c r="D8" s="1153">
        <v>35716</v>
      </c>
      <c r="E8" s="1">
        <f>D8*$C$6</f>
        <v>3186.5069521351998</v>
      </c>
      <c r="F8" s="1153">
        <v>21739</v>
      </c>
      <c r="G8" s="1">
        <f>F8*$G$6</f>
        <v>1939.5081933157999</v>
      </c>
      <c r="H8" s="1153">
        <v>35700</v>
      </c>
      <c r="I8" s="1">
        <f>H8*$I$6</f>
        <v>3185.07946554</v>
      </c>
    </row>
    <row r="9" spans="1:9" ht="12.75">
      <c r="A9" t="s">
        <v>1293</v>
      </c>
      <c r="B9" s="1153">
        <v>10977</v>
      </c>
      <c r="C9" s="1">
        <f aca="true" t="shared" si="0" ref="C9:C15">B9*$C$6</f>
        <v>979.3450222194</v>
      </c>
      <c r="D9" s="1153">
        <v>12864</v>
      </c>
      <c r="E9" s="1">
        <f aca="true" t="shared" si="1" ref="E9:E15">D9*$C$6</f>
        <v>1147.6992225408</v>
      </c>
      <c r="F9" s="1153">
        <v>10000</v>
      </c>
      <c r="G9" s="1">
        <f aca="true" t="shared" si="2" ref="G9:G15">F9*$G$6</f>
        <v>892.179122</v>
      </c>
      <c r="H9" s="1153">
        <v>11581</v>
      </c>
      <c r="I9" s="1">
        <f aca="true" t="shared" si="3" ref="I9:I15">H9*$I$6</f>
        <v>1033.2326411882</v>
      </c>
    </row>
    <row r="10" spans="1:9" ht="12.75">
      <c r="A10" t="s">
        <v>1294</v>
      </c>
      <c r="B10" s="1153">
        <v>11997</v>
      </c>
      <c r="C10" s="1">
        <f t="shared" si="0"/>
        <v>1070.3472926634</v>
      </c>
      <c r="D10" s="1153">
        <v>19556</v>
      </c>
      <c r="E10" s="1">
        <f t="shared" si="1"/>
        <v>1744.7454909832</v>
      </c>
      <c r="F10" s="1153">
        <v>11612</v>
      </c>
      <c r="G10" s="1">
        <f t="shared" si="2"/>
        <v>1035.9983964664</v>
      </c>
      <c r="H10" s="1153">
        <v>19157</v>
      </c>
      <c r="I10" s="1">
        <f t="shared" si="3"/>
        <v>1709.1475440154</v>
      </c>
    </row>
    <row r="11" spans="1:9" ht="12.75">
      <c r="A11" t="s">
        <v>1295</v>
      </c>
      <c r="B11" s="1153">
        <v>4262</v>
      </c>
      <c r="C11" s="1">
        <f t="shared" si="0"/>
        <v>380.2467417964</v>
      </c>
      <c r="D11" s="1153">
        <v>4229</v>
      </c>
      <c r="E11" s="1">
        <f t="shared" si="1"/>
        <v>377.3025506938</v>
      </c>
      <c r="F11" s="1153">
        <v>4262</v>
      </c>
      <c r="G11" s="1">
        <f t="shared" si="2"/>
        <v>380.2467417964</v>
      </c>
      <c r="H11" s="1153">
        <v>4229</v>
      </c>
      <c r="I11" s="1">
        <f t="shared" si="3"/>
        <v>377.3025506938</v>
      </c>
    </row>
    <row r="12" spans="1:9" ht="12.75">
      <c r="A12" t="s">
        <v>1296</v>
      </c>
      <c r="B12" s="1153">
        <v>6638</v>
      </c>
      <c r="C12" s="1">
        <f t="shared" si="0"/>
        <v>592.2285011836</v>
      </c>
      <c r="D12" s="1153">
        <v>11576</v>
      </c>
      <c r="E12" s="1">
        <f t="shared" si="1"/>
        <v>1032.7865516272</v>
      </c>
      <c r="F12" s="1153">
        <v>6638</v>
      </c>
      <c r="G12" s="1">
        <f t="shared" si="2"/>
        <v>592.2285011836</v>
      </c>
      <c r="H12" s="1153">
        <v>11576</v>
      </c>
      <c r="I12" s="1">
        <f t="shared" si="3"/>
        <v>1032.7865516272</v>
      </c>
    </row>
    <row r="13" spans="1:9" ht="12.75">
      <c r="A13" t="s">
        <v>1241</v>
      </c>
      <c r="B13" s="1153">
        <v>18661</v>
      </c>
      <c r="C13" s="1">
        <f t="shared" si="0"/>
        <v>1664.8954595641999</v>
      </c>
      <c r="D13" s="1153">
        <v>24019</v>
      </c>
      <c r="E13" s="1">
        <f t="shared" si="1"/>
        <v>2142.9250331318</v>
      </c>
      <c r="F13" s="1153">
        <v>18661</v>
      </c>
      <c r="G13" s="1">
        <f t="shared" si="2"/>
        <v>1664.8954595641999</v>
      </c>
      <c r="H13" s="1153">
        <v>24019</v>
      </c>
      <c r="I13" s="1">
        <f t="shared" si="3"/>
        <v>2142.9250331318</v>
      </c>
    </row>
    <row r="14" spans="1:9" ht="12.75">
      <c r="A14" t="s">
        <v>1297</v>
      </c>
      <c r="B14" s="1153">
        <v>11288</v>
      </c>
      <c r="C14" s="1">
        <f t="shared" si="0"/>
        <v>1007.0917929136</v>
      </c>
      <c r="D14" s="1153">
        <v>15799</v>
      </c>
      <c r="E14" s="1">
        <f t="shared" si="1"/>
        <v>1409.5537948478</v>
      </c>
      <c r="F14" s="1153">
        <v>11229</v>
      </c>
      <c r="G14" s="1">
        <f t="shared" si="2"/>
        <v>1001.8279360938</v>
      </c>
      <c r="H14" s="1153">
        <v>15635</v>
      </c>
      <c r="I14" s="1">
        <f t="shared" si="3"/>
        <v>1394.9220572469999</v>
      </c>
    </row>
    <row r="15" spans="1:9" ht="12.75">
      <c r="A15" t="s">
        <v>1298</v>
      </c>
      <c r="B15" s="1153">
        <v>11486</v>
      </c>
      <c r="C15" s="1">
        <f t="shared" si="0"/>
        <v>1024.7569395292</v>
      </c>
      <c r="D15" s="1153">
        <v>13432</v>
      </c>
      <c r="E15" s="1">
        <f t="shared" si="1"/>
        <v>1198.3749966704</v>
      </c>
      <c r="F15" s="1153">
        <v>11169</v>
      </c>
      <c r="G15" s="1">
        <f t="shared" si="2"/>
        <v>996.4748613618</v>
      </c>
      <c r="H15" s="1153">
        <v>12912</v>
      </c>
      <c r="I15" s="1">
        <f t="shared" si="3"/>
        <v>1151.9816823264</v>
      </c>
    </row>
    <row r="16" spans="2:8" ht="12.75">
      <c r="B16" s="1149"/>
      <c r="D16" s="1149"/>
      <c r="F16" s="1149"/>
      <c r="H16" s="1149"/>
    </row>
    <row r="17" spans="1:8" ht="15">
      <c r="A17" s="1152" t="s">
        <v>274</v>
      </c>
      <c r="B17" s="1149"/>
      <c r="D17" s="1149"/>
      <c r="F17" s="1149"/>
      <c r="H17" s="1149"/>
    </row>
    <row r="18" spans="1:9" ht="12.75">
      <c r="A18" t="s">
        <v>519</v>
      </c>
      <c r="B18" s="1153">
        <v>93774</v>
      </c>
      <c r="C18" s="1">
        <f aca="true" t="shared" si="4" ref="C18:C30">B18*$C$6</f>
        <v>8366.320498642799</v>
      </c>
      <c r="D18" s="1153">
        <v>112910</v>
      </c>
      <c r="E18" s="1">
        <f aca="true" t="shared" si="5" ref="E18:E30">D18*$C$6</f>
        <v>10073.594466502</v>
      </c>
      <c r="F18" s="1153">
        <v>92960</v>
      </c>
      <c r="G18" s="1">
        <f aca="true" t="shared" si="6" ref="G18:G30">F18*$G$6</f>
        <v>8293.697118112</v>
      </c>
      <c r="H18" s="1153">
        <v>111038</v>
      </c>
      <c r="I18" s="1">
        <f aca="true" t="shared" si="7" ref="I18:I30">H18*$I$6</f>
        <v>9906.5785348636</v>
      </c>
    </row>
    <row r="19" spans="1:9" ht="12.75">
      <c r="A19" t="s">
        <v>1299</v>
      </c>
      <c r="B19" s="1153">
        <v>117647</v>
      </c>
      <c r="C19" s="1">
        <f t="shared" si="4"/>
        <v>10496.2197165934</v>
      </c>
      <c r="D19" s="1153">
        <v>158919</v>
      </c>
      <c r="E19" s="1">
        <f t="shared" si="5"/>
        <v>14178.4213889118</v>
      </c>
      <c r="F19" s="1153">
        <v>116667</v>
      </c>
      <c r="G19" s="1">
        <f t="shared" si="6"/>
        <v>10408.7861626374</v>
      </c>
      <c r="H19" s="1153">
        <v>156028</v>
      </c>
      <c r="I19" s="1">
        <f t="shared" si="7"/>
        <v>13920.4924047416</v>
      </c>
    </row>
    <row r="20" spans="1:9" ht="12.75">
      <c r="A20" t="s">
        <v>1300</v>
      </c>
      <c r="B20" s="1153">
        <v>120837</v>
      </c>
      <c r="C20" s="1">
        <f t="shared" si="4"/>
        <v>10780.824856511399</v>
      </c>
      <c r="D20" s="1153">
        <v>135234</v>
      </c>
      <c r="E20" s="1">
        <f t="shared" si="5"/>
        <v>12065.2951384548</v>
      </c>
      <c r="F20" s="1153">
        <v>120110</v>
      </c>
      <c r="G20" s="1">
        <f t="shared" si="6"/>
        <v>10715.963434342</v>
      </c>
      <c r="H20" s="1153">
        <v>133346</v>
      </c>
      <c r="I20" s="1">
        <f t="shared" si="7"/>
        <v>11896.8517202212</v>
      </c>
    </row>
    <row r="21" spans="1:9" ht="12.75">
      <c r="A21" t="s">
        <v>518</v>
      </c>
      <c r="B21" s="1153">
        <v>88997</v>
      </c>
      <c r="C21" s="1">
        <f t="shared" si="4"/>
        <v>7940.1265320634</v>
      </c>
      <c r="D21" s="1153">
        <v>109639</v>
      </c>
      <c r="E21" s="1">
        <f t="shared" si="5"/>
        <v>9781.7626756958</v>
      </c>
      <c r="F21" s="1153">
        <v>88462</v>
      </c>
      <c r="G21" s="1">
        <f t="shared" si="6"/>
        <v>7892.3949490364</v>
      </c>
      <c r="H21" s="1153">
        <v>107571</v>
      </c>
      <c r="I21" s="1">
        <f t="shared" si="7"/>
        <v>9597.2600332662</v>
      </c>
    </row>
    <row r="22" spans="1:9" ht="12.75">
      <c r="A22" t="s">
        <v>510</v>
      </c>
      <c r="B22" s="1153">
        <v>114286</v>
      </c>
      <c r="C22" s="1">
        <f t="shared" si="4"/>
        <v>10196.3583136892</v>
      </c>
      <c r="D22" s="1153">
        <v>162866</v>
      </c>
      <c r="E22" s="1">
        <f t="shared" si="5"/>
        <v>14530.5644883652</v>
      </c>
      <c r="F22" s="1153">
        <v>112363</v>
      </c>
      <c r="G22" s="1">
        <f t="shared" si="6"/>
        <v>10024.7922685286</v>
      </c>
      <c r="H22" s="1153">
        <v>162590</v>
      </c>
      <c r="I22" s="1">
        <f t="shared" si="7"/>
        <v>14505.940344598</v>
      </c>
    </row>
    <row r="23" spans="1:9" ht="12.75">
      <c r="A23" t="s">
        <v>516</v>
      </c>
      <c r="B23" s="1153">
        <v>141980</v>
      </c>
      <c r="C23" s="1">
        <f t="shared" si="4"/>
        <v>12667.159174156</v>
      </c>
      <c r="D23" s="1153">
        <v>194983</v>
      </c>
      <c r="E23" s="1">
        <f t="shared" si="5"/>
        <v>17395.9761744926</v>
      </c>
      <c r="F23" s="1153">
        <v>141280</v>
      </c>
      <c r="G23" s="1">
        <f t="shared" si="6"/>
        <v>12604.706635616</v>
      </c>
      <c r="H23" s="1153">
        <v>193123</v>
      </c>
      <c r="I23" s="1">
        <f t="shared" si="7"/>
        <v>17230.0308578006</v>
      </c>
    </row>
    <row r="24" spans="1:9" ht="12.75">
      <c r="A24" t="s">
        <v>1301</v>
      </c>
      <c r="B24" s="1153">
        <v>66667</v>
      </c>
      <c r="C24" s="1">
        <f t="shared" si="4"/>
        <v>5947.8905526374</v>
      </c>
      <c r="D24" s="1153">
        <v>85767</v>
      </c>
      <c r="E24" s="1">
        <f t="shared" si="5"/>
        <v>7651.9526756574</v>
      </c>
      <c r="F24" s="1153">
        <v>66667</v>
      </c>
      <c r="G24" s="1">
        <f t="shared" si="6"/>
        <v>5947.8905526374</v>
      </c>
      <c r="H24" s="1153">
        <v>85944</v>
      </c>
      <c r="I24" s="1">
        <f t="shared" si="7"/>
        <v>7667.7442461168</v>
      </c>
    </row>
    <row r="25" spans="1:9" ht="12.75">
      <c r="A25" t="s">
        <v>528</v>
      </c>
      <c r="B25" s="1153">
        <v>17844</v>
      </c>
      <c r="C25" s="1">
        <f t="shared" si="4"/>
        <v>1592.0044252968</v>
      </c>
      <c r="D25" s="1153">
        <v>22618</v>
      </c>
      <c r="E25" s="1">
        <f t="shared" si="5"/>
        <v>2017.9307381396</v>
      </c>
      <c r="F25" s="1153">
        <v>17523</v>
      </c>
      <c r="G25" s="1">
        <f t="shared" si="6"/>
        <v>1563.3654754806</v>
      </c>
      <c r="H25" s="1153">
        <v>21399</v>
      </c>
      <c r="I25" s="1">
        <f t="shared" si="7"/>
        <v>1909.1741031678</v>
      </c>
    </row>
    <row r="26" spans="1:9" ht="12.75">
      <c r="A26" t="s">
        <v>1302</v>
      </c>
      <c r="B26" s="1153">
        <v>77455</v>
      </c>
      <c r="C26" s="1">
        <f t="shared" si="4"/>
        <v>6910.373389451</v>
      </c>
      <c r="D26" s="1153">
        <v>95347</v>
      </c>
      <c r="E26" s="1">
        <f t="shared" si="5"/>
        <v>8506.6602745334</v>
      </c>
      <c r="F26" s="1153">
        <v>77455</v>
      </c>
      <c r="G26" s="1">
        <f t="shared" si="6"/>
        <v>6910.373389451</v>
      </c>
      <c r="H26" s="1153">
        <v>95347</v>
      </c>
      <c r="I26" s="1">
        <f t="shared" si="7"/>
        <v>8506.6602745334</v>
      </c>
    </row>
    <row r="27" spans="1:9" ht="12.75">
      <c r="A27" t="s">
        <v>1303</v>
      </c>
      <c r="B27" s="1153">
        <v>154729</v>
      </c>
      <c r="C27" s="1">
        <f t="shared" si="4"/>
        <v>13804.5983367938</v>
      </c>
      <c r="D27" s="1153">
        <v>207472</v>
      </c>
      <c r="E27" s="1">
        <f t="shared" si="5"/>
        <v>18510.2186799584</v>
      </c>
      <c r="F27" s="1153">
        <v>153092</v>
      </c>
      <c r="G27" s="1">
        <f t="shared" si="6"/>
        <v>13658.5486145224</v>
      </c>
      <c r="H27" s="1153">
        <v>206063</v>
      </c>
      <c r="I27" s="1">
        <f t="shared" si="7"/>
        <v>18384.5106416686</v>
      </c>
    </row>
    <row r="28" spans="1:9" ht="12.75">
      <c r="A28" t="s">
        <v>568</v>
      </c>
      <c r="B28" s="1153">
        <v>45170</v>
      </c>
      <c r="C28" s="1">
        <f t="shared" si="4"/>
        <v>4029.973094074</v>
      </c>
      <c r="D28" s="1153">
        <v>64271</v>
      </c>
      <c r="E28" s="1">
        <f t="shared" si="5"/>
        <v>5734.1244350062</v>
      </c>
      <c r="F28" s="1153">
        <v>43818</v>
      </c>
      <c r="G28" s="1">
        <f t="shared" si="6"/>
        <v>3909.3504767796</v>
      </c>
      <c r="H28" s="1153">
        <v>63814</v>
      </c>
      <c r="I28" s="1">
        <f t="shared" si="7"/>
        <v>5693.3518491308</v>
      </c>
    </row>
    <row r="29" spans="1:9" ht="12.75">
      <c r="A29" t="s">
        <v>1304</v>
      </c>
      <c r="B29" s="1153">
        <v>75006</v>
      </c>
      <c r="C29" s="1">
        <f t="shared" si="4"/>
        <v>6691.8787224732</v>
      </c>
      <c r="D29" s="1153">
        <v>90503</v>
      </c>
      <c r="E29" s="1">
        <f t="shared" si="5"/>
        <v>8074.4887078366</v>
      </c>
      <c r="F29" s="1153">
        <v>75455</v>
      </c>
      <c r="G29" s="1">
        <f t="shared" si="6"/>
        <v>6731.937565051</v>
      </c>
      <c r="H29" s="1153">
        <v>91009</v>
      </c>
      <c r="I29" s="1">
        <f t="shared" si="7"/>
        <v>8119.6329714098</v>
      </c>
    </row>
    <row r="30" spans="1:9" ht="12.75">
      <c r="A30" t="s">
        <v>1305</v>
      </c>
      <c r="B30" s="1153">
        <v>133174</v>
      </c>
      <c r="C30" s="1">
        <f t="shared" si="4"/>
        <v>11881.5062393228</v>
      </c>
      <c r="D30" s="1153">
        <v>137708</v>
      </c>
      <c r="E30" s="1">
        <f t="shared" si="5"/>
        <v>12286.0202532376</v>
      </c>
      <c r="F30" s="1153">
        <v>133333</v>
      </c>
      <c r="G30" s="1">
        <f t="shared" si="6"/>
        <v>11895.6918873626</v>
      </c>
      <c r="H30" s="1153">
        <v>137657</v>
      </c>
      <c r="I30" s="1">
        <f t="shared" si="7"/>
        <v>12281.4701397154</v>
      </c>
    </row>
    <row r="31" spans="2:8" ht="12.75">
      <c r="B31" s="1149"/>
      <c r="D31" s="1149"/>
      <c r="F31" s="1149"/>
      <c r="H31" s="1149"/>
    </row>
    <row r="32" spans="1:8" ht="15">
      <c r="A32" s="1152" t="s">
        <v>555</v>
      </c>
      <c r="B32" s="1149"/>
      <c r="D32" s="1149"/>
      <c r="F32" s="1149"/>
      <c r="H32" s="1149"/>
    </row>
    <row r="33" spans="1:9" ht="12.75">
      <c r="A33" t="s">
        <v>536</v>
      </c>
      <c r="B33" s="1153">
        <v>2331</v>
      </c>
      <c r="C33" s="1">
        <f aca="true" t="shared" si="8" ref="C33:C45">B33*$C$6</f>
        <v>207.9669533382</v>
      </c>
      <c r="D33" s="1153">
        <v>2877</v>
      </c>
      <c r="E33" s="1">
        <f aca="true" t="shared" si="9" ref="E33:E45">D33*$C$6</f>
        <v>256.6799333994</v>
      </c>
      <c r="F33" s="1153">
        <v>2331</v>
      </c>
      <c r="G33" s="1">
        <f>F33*$G$6</f>
        <v>207.9669533382</v>
      </c>
      <c r="H33" s="1153">
        <v>2877</v>
      </c>
      <c r="I33" s="1">
        <f>H33*$I$6</f>
        <v>256.6799333994</v>
      </c>
    </row>
    <row r="34" spans="1:9" ht="12.75">
      <c r="A34" t="s">
        <v>537</v>
      </c>
      <c r="B34" s="1153">
        <v>6068</v>
      </c>
      <c r="C34" s="1">
        <f t="shared" si="8"/>
        <v>541.3742912296</v>
      </c>
      <c r="D34" s="1153">
        <v>7703</v>
      </c>
      <c r="E34" s="1">
        <f t="shared" si="9"/>
        <v>687.2455776766</v>
      </c>
      <c r="F34" s="1153">
        <v>6068</v>
      </c>
      <c r="G34" s="1">
        <f aca="true" t="shared" si="10" ref="G34:G45">F34*$G$6</f>
        <v>541.3742912296</v>
      </c>
      <c r="H34" s="1153">
        <v>7703</v>
      </c>
      <c r="I34" s="1">
        <f aca="true" t="shared" si="11" ref="I34:I45">H34*$I$6</f>
        <v>687.2455776766</v>
      </c>
    </row>
    <row r="35" spans="1:9" ht="12.75">
      <c r="A35" t="s">
        <v>538</v>
      </c>
      <c r="B35" s="1153">
        <v>7084</v>
      </c>
      <c r="C35" s="1">
        <f t="shared" si="8"/>
        <v>632.0196900248</v>
      </c>
      <c r="D35" s="1153">
        <v>19826</v>
      </c>
      <c r="E35" s="1">
        <f t="shared" si="9"/>
        <v>1768.8343272772</v>
      </c>
      <c r="F35" s="1153">
        <v>7084</v>
      </c>
      <c r="G35" s="1">
        <f t="shared" si="10"/>
        <v>632.0196900248</v>
      </c>
      <c r="H35" s="1153">
        <v>19826</v>
      </c>
      <c r="I35" s="1">
        <f t="shared" si="11"/>
        <v>1768.8343272772</v>
      </c>
    </row>
    <row r="36" spans="1:9" ht="12.75">
      <c r="A36" t="s">
        <v>539</v>
      </c>
      <c r="B36" s="1153">
        <v>7035</v>
      </c>
      <c r="C36" s="1">
        <f t="shared" si="8"/>
        <v>627.648012327</v>
      </c>
      <c r="D36" s="1153">
        <v>13375</v>
      </c>
      <c r="E36" s="1">
        <f t="shared" si="9"/>
        <v>1193.289575675</v>
      </c>
      <c r="F36" s="1153">
        <v>7035</v>
      </c>
      <c r="G36" s="1">
        <f t="shared" si="10"/>
        <v>627.648012327</v>
      </c>
      <c r="H36" s="1153">
        <v>13375</v>
      </c>
      <c r="I36" s="1">
        <f t="shared" si="11"/>
        <v>1193.289575675</v>
      </c>
    </row>
    <row r="37" spans="1:9" ht="12.75">
      <c r="A37" t="s">
        <v>540</v>
      </c>
      <c r="B37" s="1153">
        <v>219745</v>
      </c>
      <c r="C37" s="1">
        <f t="shared" si="8"/>
        <v>19605.190116389</v>
      </c>
      <c r="D37" s="1153">
        <v>213007</v>
      </c>
      <c r="E37" s="1">
        <f t="shared" si="9"/>
        <v>19004.0398239854</v>
      </c>
      <c r="F37" s="1153">
        <v>219745</v>
      </c>
      <c r="G37" s="1">
        <f t="shared" si="10"/>
        <v>19605.190116389</v>
      </c>
      <c r="H37" s="1153">
        <v>213007</v>
      </c>
      <c r="I37" s="1">
        <f t="shared" si="11"/>
        <v>19004.0398239854</v>
      </c>
    </row>
    <row r="38" spans="1:9" ht="12.75">
      <c r="A38" t="s">
        <v>541</v>
      </c>
      <c r="B38" s="1153">
        <v>17760</v>
      </c>
      <c r="C38" s="1">
        <f t="shared" si="8"/>
        <v>1584.510120672</v>
      </c>
      <c r="D38" s="1153">
        <v>30111</v>
      </c>
      <c r="E38" s="1">
        <f t="shared" si="9"/>
        <v>2686.4405542542</v>
      </c>
      <c r="F38" s="1153">
        <v>17760</v>
      </c>
      <c r="G38" s="1">
        <f t="shared" si="10"/>
        <v>1584.510120672</v>
      </c>
      <c r="H38" s="1153">
        <v>30111</v>
      </c>
      <c r="I38" s="1">
        <f t="shared" si="11"/>
        <v>2686.4405542542</v>
      </c>
    </row>
    <row r="39" spans="1:9" ht="12.75">
      <c r="A39" t="s">
        <v>542</v>
      </c>
      <c r="B39" s="1153">
        <v>120544</v>
      </c>
      <c r="C39" s="1">
        <f t="shared" si="8"/>
        <v>10754.6840082368</v>
      </c>
      <c r="D39" s="1153">
        <v>226596</v>
      </c>
      <c r="E39" s="1">
        <f t="shared" si="9"/>
        <v>20216.4220328712</v>
      </c>
      <c r="F39" s="1153">
        <v>119568</v>
      </c>
      <c r="G39" s="1">
        <f t="shared" si="10"/>
        <v>10667.607325929599</v>
      </c>
      <c r="H39" s="1153">
        <v>226124</v>
      </c>
      <c r="I39" s="1">
        <f t="shared" si="11"/>
        <v>20174.3111783128</v>
      </c>
    </row>
    <row r="40" spans="1:9" ht="12.75">
      <c r="A40" t="s">
        <v>1306</v>
      </c>
      <c r="B40" s="1153">
        <v>5362</v>
      </c>
      <c r="C40" s="1">
        <f t="shared" si="8"/>
        <v>478.3864452164</v>
      </c>
      <c r="D40" s="1153">
        <v>7689</v>
      </c>
      <c r="E40" s="1">
        <f t="shared" si="9"/>
        <v>685.9965269058</v>
      </c>
      <c r="F40" s="1153">
        <v>5362</v>
      </c>
      <c r="G40" s="1">
        <f t="shared" si="10"/>
        <v>478.3864452164</v>
      </c>
      <c r="H40" s="1153">
        <v>7689</v>
      </c>
      <c r="I40" s="1">
        <f t="shared" si="11"/>
        <v>685.9965269058</v>
      </c>
    </row>
    <row r="41" spans="1:9" ht="12.75">
      <c r="A41" t="s">
        <v>543</v>
      </c>
      <c r="B41" s="1153">
        <v>3004</v>
      </c>
      <c r="C41" s="1">
        <f t="shared" si="8"/>
        <v>268.0106082488</v>
      </c>
      <c r="D41" s="1153">
        <v>4618</v>
      </c>
      <c r="E41" s="1">
        <f t="shared" si="9"/>
        <v>412.0083185396</v>
      </c>
      <c r="F41" s="1153">
        <v>3004</v>
      </c>
      <c r="G41" s="1">
        <f>F41*$G$6</f>
        <v>268.0106082488</v>
      </c>
      <c r="H41" s="1153">
        <v>4618</v>
      </c>
      <c r="I41" s="1">
        <f>H41*$I$6</f>
        <v>412.0083185396</v>
      </c>
    </row>
    <row r="42" spans="1:9" ht="12.75">
      <c r="A42" t="s">
        <v>544</v>
      </c>
      <c r="B42" s="1153">
        <v>7840</v>
      </c>
      <c r="C42" s="1">
        <f t="shared" si="8"/>
        <v>699.468431648</v>
      </c>
      <c r="D42" s="1153">
        <v>12721</v>
      </c>
      <c r="E42" s="1">
        <f t="shared" si="9"/>
        <v>1134.9410610962</v>
      </c>
      <c r="F42" s="1153">
        <v>7840</v>
      </c>
      <c r="G42" s="1">
        <f t="shared" si="10"/>
        <v>699.468431648</v>
      </c>
      <c r="H42" s="1153">
        <v>12721</v>
      </c>
      <c r="I42" s="1">
        <f t="shared" si="11"/>
        <v>1134.9410610962</v>
      </c>
    </row>
    <row r="43" spans="1:9" ht="12.75">
      <c r="A43" t="s">
        <v>545</v>
      </c>
      <c r="B43" s="1153">
        <v>49706</v>
      </c>
      <c r="C43" s="1">
        <f t="shared" si="8"/>
        <v>4434.6655438132</v>
      </c>
      <c r="D43" s="1153">
        <v>88489</v>
      </c>
      <c r="E43" s="1">
        <f t="shared" si="9"/>
        <v>7894.8038326658</v>
      </c>
      <c r="F43" s="1153">
        <v>47227</v>
      </c>
      <c r="G43" s="1">
        <f t="shared" si="10"/>
        <v>4213.4943394694</v>
      </c>
      <c r="H43" s="1153">
        <v>76696</v>
      </c>
      <c r="I43" s="1">
        <f t="shared" si="11"/>
        <v>6842.6569940911995</v>
      </c>
    </row>
    <row r="44" spans="1:9" ht="12.75">
      <c r="A44" t="s">
        <v>546</v>
      </c>
      <c r="B44" s="1153">
        <v>7297</v>
      </c>
      <c r="C44" s="1">
        <f t="shared" si="8"/>
        <v>651.0231053234</v>
      </c>
      <c r="D44" s="1153">
        <v>17055</v>
      </c>
      <c r="E44" s="1">
        <f t="shared" si="9"/>
        <v>1521.6114925709999</v>
      </c>
      <c r="F44" s="1153">
        <v>7207</v>
      </c>
      <c r="G44" s="1">
        <f t="shared" si="10"/>
        <v>642.9934932254</v>
      </c>
      <c r="H44" s="1153">
        <v>17453</v>
      </c>
      <c r="I44" s="1">
        <f t="shared" si="11"/>
        <v>1557.1202216266</v>
      </c>
    </row>
    <row r="45" spans="1:9" ht="12.75">
      <c r="A45" t="s">
        <v>547</v>
      </c>
      <c r="B45" s="1153">
        <v>4013</v>
      </c>
      <c r="C45" s="1">
        <f t="shared" si="8"/>
        <v>358.0314816586</v>
      </c>
      <c r="D45" s="1153">
        <v>5314</v>
      </c>
      <c r="E45" s="1">
        <f t="shared" si="9"/>
        <v>474.1039854308</v>
      </c>
      <c r="F45" s="1153">
        <v>4013</v>
      </c>
      <c r="G45" s="1">
        <f t="shared" si="10"/>
        <v>358.0314816586</v>
      </c>
      <c r="H45" s="1153">
        <v>5314</v>
      </c>
      <c r="I45" s="1">
        <f t="shared" si="11"/>
        <v>474.1039854308</v>
      </c>
    </row>
    <row r="46" spans="2:8" ht="12.75">
      <c r="B46" s="1149"/>
      <c r="D46" s="1149"/>
      <c r="F46" s="1149"/>
      <c r="H46" s="1149"/>
    </row>
    <row r="47" spans="1:8" ht="15">
      <c r="A47" s="1152" t="s">
        <v>888</v>
      </c>
      <c r="B47" s="1149"/>
      <c r="D47" s="1149"/>
      <c r="F47" s="1149"/>
      <c r="H47" s="1149"/>
    </row>
    <row r="48" spans="1:9" ht="12.75">
      <c r="A48" t="s">
        <v>1307</v>
      </c>
      <c r="B48" s="1153">
        <v>31250</v>
      </c>
      <c r="C48" s="1">
        <f>B48*$C$6</f>
        <v>2788.05975625</v>
      </c>
      <c r="D48" s="1153">
        <v>34845</v>
      </c>
      <c r="E48" s="1">
        <f>D48*$C$6</f>
        <v>3108.798150609</v>
      </c>
      <c r="F48" s="1153">
        <v>31106</v>
      </c>
      <c r="G48" s="1">
        <f>F48*$G$6</f>
        <v>2775.2123768932</v>
      </c>
      <c r="H48" s="1153">
        <v>34486</v>
      </c>
      <c r="I48" s="1">
        <f>H48*$I$6</f>
        <v>3076.7689201292</v>
      </c>
    </row>
    <row r="49" spans="2:8" ht="12.75">
      <c r="B49" s="1149"/>
      <c r="D49" s="1149"/>
      <c r="F49" s="1149"/>
      <c r="H49" s="1149"/>
    </row>
    <row r="50" spans="1:8" ht="15">
      <c r="A50" s="1152" t="s">
        <v>1308</v>
      </c>
      <c r="B50" s="1149"/>
      <c r="D50" s="1149"/>
      <c r="F50" s="1149"/>
      <c r="H50" s="1149"/>
    </row>
    <row r="51" spans="1:9" ht="12.75">
      <c r="A51" t="s">
        <v>1211</v>
      </c>
      <c r="B51" s="1153">
        <v>433183</v>
      </c>
      <c r="C51" s="1">
        <f aca="true" t="shared" si="12" ref="C51:C58">B51*$C$6</f>
        <v>38647.6828605326</v>
      </c>
      <c r="D51" s="1153">
        <v>419451</v>
      </c>
      <c r="E51" s="1">
        <f aca="true" t="shared" si="13" ref="E51:E58">D51*$C$6</f>
        <v>37422.5424902022</v>
      </c>
      <c r="F51" s="1153">
        <v>427376</v>
      </c>
      <c r="G51" s="1">
        <f aca="true" t="shared" si="14" ref="G51:G58">F51*$G$6</f>
        <v>38129.5944443872</v>
      </c>
      <c r="H51" s="1153">
        <v>416521</v>
      </c>
      <c r="I51" s="1">
        <f aca="true" t="shared" si="15" ref="I51:I58">H51*$I$6</f>
        <v>37161.1340074562</v>
      </c>
    </row>
    <row r="52" spans="1:9" ht="12.75">
      <c r="A52" t="s">
        <v>1309</v>
      </c>
      <c r="B52" s="1153">
        <v>590949</v>
      </c>
      <c r="C52" s="1">
        <f t="shared" si="12"/>
        <v>52723.2359966778</v>
      </c>
      <c r="D52" s="1153">
        <v>581737</v>
      </c>
      <c r="E52" s="1">
        <f t="shared" si="13"/>
        <v>51901.3605894914</v>
      </c>
      <c r="F52" s="1153">
        <v>587516</v>
      </c>
      <c r="G52" s="1">
        <f t="shared" si="14"/>
        <v>52416.950904095196</v>
      </c>
      <c r="H52" s="1153">
        <v>579673</v>
      </c>
      <c r="I52" s="1">
        <f t="shared" si="15"/>
        <v>51717.2148187106</v>
      </c>
    </row>
    <row r="53" spans="1:9" ht="12.75">
      <c r="A53" t="s">
        <v>534</v>
      </c>
      <c r="B53" s="1153">
        <v>15556</v>
      </c>
      <c r="C53" s="1">
        <f t="shared" si="12"/>
        <v>1387.8738421832</v>
      </c>
      <c r="D53" s="1153">
        <v>16720</v>
      </c>
      <c r="E53" s="1">
        <f t="shared" si="13"/>
        <v>1491.723491984</v>
      </c>
      <c r="F53" s="1153">
        <v>15556</v>
      </c>
      <c r="G53" s="1">
        <f t="shared" si="14"/>
        <v>1387.8738421832</v>
      </c>
      <c r="H53" s="1153">
        <v>16720</v>
      </c>
      <c r="I53" s="1">
        <f t="shared" si="15"/>
        <v>1491.723491984</v>
      </c>
    </row>
    <row r="54" spans="1:9" ht="12.75">
      <c r="A54" t="s">
        <v>1310</v>
      </c>
      <c r="B54" s="1153">
        <v>3520</v>
      </c>
      <c r="C54" s="1">
        <f t="shared" si="12"/>
        <v>314.047050944</v>
      </c>
      <c r="D54" s="1153">
        <v>4396</v>
      </c>
      <c r="E54" s="1">
        <f t="shared" si="13"/>
        <v>392.2019420312</v>
      </c>
      <c r="F54" s="1153">
        <v>3520</v>
      </c>
      <c r="G54" s="1">
        <f t="shared" si="14"/>
        <v>314.047050944</v>
      </c>
      <c r="H54" s="1153">
        <v>4396</v>
      </c>
      <c r="I54" s="1">
        <f t="shared" si="15"/>
        <v>392.2019420312</v>
      </c>
    </row>
    <row r="55" spans="1:9" ht="12.75">
      <c r="A55" t="s">
        <v>1311</v>
      </c>
      <c r="B55" s="1153">
        <v>41912</v>
      </c>
      <c r="C55" s="1">
        <f t="shared" si="12"/>
        <v>3739.3011361264</v>
      </c>
      <c r="D55" s="1153">
        <v>47021</v>
      </c>
      <c r="E55" s="1">
        <f t="shared" si="13"/>
        <v>4195.1154495562</v>
      </c>
      <c r="F55" s="1153">
        <v>41912</v>
      </c>
      <c r="G55" s="1">
        <f t="shared" si="14"/>
        <v>3739.3011361264</v>
      </c>
      <c r="H55" s="1153">
        <v>47021</v>
      </c>
      <c r="I55" s="1">
        <f t="shared" si="15"/>
        <v>4195.1154495562</v>
      </c>
    </row>
    <row r="56" spans="1:9" ht="12.75">
      <c r="A56" t="s">
        <v>535</v>
      </c>
      <c r="B56" s="1153">
        <v>5216</v>
      </c>
      <c r="C56" s="1">
        <f t="shared" si="12"/>
        <v>465.3606300352</v>
      </c>
      <c r="D56" s="1153">
        <v>6865</v>
      </c>
      <c r="E56" s="1">
        <f t="shared" si="13"/>
        <v>612.480967253</v>
      </c>
      <c r="F56" s="1153">
        <v>5190</v>
      </c>
      <c r="G56" s="1">
        <f t="shared" si="14"/>
        <v>463.040964318</v>
      </c>
      <c r="H56" s="1153">
        <v>6768</v>
      </c>
      <c r="I56" s="1">
        <f t="shared" si="15"/>
        <v>603.8268297696</v>
      </c>
    </row>
    <row r="57" spans="1:9" ht="12.75">
      <c r="A57" t="s">
        <v>1312</v>
      </c>
      <c r="B57" s="1153">
        <v>17567</v>
      </c>
      <c r="C57" s="1">
        <f t="shared" si="12"/>
        <v>1567.2910636174</v>
      </c>
      <c r="D57" s="1153">
        <v>19198</v>
      </c>
      <c r="E57" s="1">
        <f t="shared" si="13"/>
        <v>1712.8054784156</v>
      </c>
      <c r="F57" s="1153">
        <v>17639</v>
      </c>
      <c r="G57" s="1">
        <f t="shared" si="14"/>
        <v>1573.7147532958</v>
      </c>
      <c r="H57" s="1153">
        <v>19247</v>
      </c>
      <c r="I57" s="1">
        <f t="shared" si="15"/>
        <v>1717.1771561134</v>
      </c>
    </row>
    <row r="58" spans="1:9" ht="12.75">
      <c r="A58" t="s">
        <v>258</v>
      </c>
      <c r="B58" s="1153">
        <v>15004</v>
      </c>
      <c r="C58" s="1">
        <f t="shared" si="12"/>
        <v>1338.6255546488</v>
      </c>
      <c r="D58" s="1153">
        <v>15970</v>
      </c>
      <c r="E58" s="1">
        <f t="shared" si="13"/>
        <v>1424.810057834</v>
      </c>
      <c r="F58" s="1153">
        <v>14971</v>
      </c>
      <c r="G58" s="1">
        <f t="shared" si="14"/>
        <v>1335.6813635462</v>
      </c>
      <c r="H58" s="1153">
        <v>15842</v>
      </c>
      <c r="I58" s="1">
        <f t="shared" si="15"/>
        <v>1413.3901650724</v>
      </c>
    </row>
    <row r="59" spans="2:8" ht="12.75">
      <c r="B59" s="1149"/>
      <c r="D59" s="1149"/>
      <c r="F59" s="1149"/>
      <c r="H59" s="1149"/>
    </row>
    <row r="60" ht="15">
      <c r="A60" s="1154"/>
    </row>
    <row r="61" spans="2:9" ht="12.75">
      <c r="B61" s="45"/>
      <c r="C61" s="45"/>
      <c r="D61" s="45"/>
      <c r="E61" s="45"/>
      <c r="F61" s="45"/>
      <c r="G61" s="45"/>
      <c r="H61" s="45"/>
      <c r="I61" s="45"/>
    </row>
    <row r="62" spans="2:9" ht="12.75">
      <c r="B62" s="45"/>
      <c r="C62" s="45"/>
      <c r="D62" s="45"/>
      <c r="E62" s="45"/>
      <c r="F62" s="45"/>
      <c r="G62" s="45"/>
      <c r="H62" s="45"/>
      <c r="I62" s="45"/>
    </row>
    <row r="63" spans="2:9" ht="12.75">
      <c r="B63" s="45"/>
      <c r="C63" s="45"/>
      <c r="D63" s="45"/>
      <c r="E63" s="45"/>
      <c r="F63" s="45"/>
      <c r="G63" s="45"/>
      <c r="H63" s="45"/>
      <c r="I63" s="45"/>
    </row>
    <row r="64" spans="2:9" ht="12.75">
      <c r="B64" s="45"/>
      <c r="C64" s="45"/>
      <c r="D64" s="45"/>
      <c r="E64" s="45"/>
      <c r="F64" s="45"/>
      <c r="G64" s="45"/>
      <c r="H64" s="45"/>
      <c r="I64" s="45"/>
    </row>
    <row r="65" spans="2:9" ht="12.75">
      <c r="B65" s="45"/>
      <c r="C65" s="45"/>
      <c r="D65" s="45"/>
      <c r="E65" s="45"/>
      <c r="F65" s="45"/>
      <c r="G65" s="45"/>
      <c r="H65" s="45"/>
      <c r="I65" s="45"/>
    </row>
    <row r="66" spans="2:9" ht="12.75">
      <c r="B66" s="45"/>
      <c r="C66" s="45"/>
      <c r="D66" s="45"/>
      <c r="E66" s="45"/>
      <c r="F66" s="45"/>
      <c r="G66" s="45"/>
      <c r="H66" s="45"/>
      <c r="I66" s="45"/>
    </row>
    <row r="67" spans="2:9" ht="12.75">
      <c r="B67" s="45"/>
      <c r="C67" s="45"/>
      <c r="D67" s="45"/>
      <c r="E67" s="45"/>
      <c r="F67" s="45"/>
      <c r="G67" s="45"/>
      <c r="H67" s="45"/>
      <c r="I67" s="45"/>
    </row>
    <row r="68" spans="2:9" ht="12.75">
      <c r="B68" s="45"/>
      <c r="C68" s="45"/>
      <c r="D68" s="45"/>
      <c r="E68" s="45"/>
      <c r="F68" s="45"/>
      <c r="G68" s="45"/>
      <c r="H68" s="45"/>
      <c r="I68" s="45"/>
    </row>
    <row r="69" spans="2:9" ht="12.75">
      <c r="B69" s="45"/>
      <c r="C69" s="45"/>
      <c r="D69" s="45"/>
      <c r="E69" s="45"/>
      <c r="F69" s="45"/>
      <c r="G69" s="45"/>
      <c r="H69" s="45"/>
      <c r="I69" s="45"/>
    </row>
    <row r="70" spans="2:9" ht="12.75">
      <c r="B70" s="45"/>
      <c r="C70" s="45"/>
      <c r="D70" s="45"/>
      <c r="E70" s="45"/>
      <c r="F70" s="45"/>
      <c r="G70" s="45"/>
      <c r="H70" s="45"/>
      <c r="I70" s="45"/>
    </row>
    <row r="71" spans="2:9" ht="12.75">
      <c r="B71" s="45"/>
      <c r="C71" s="45"/>
      <c r="D71" s="45"/>
      <c r="E71" s="45"/>
      <c r="F71" s="45"/>
      <c r="G71" s="45"/>
      <c r="H71" s="45"/>
      <c r="I71" s="45"/>
    </row>
    <row r="72" spans="2:9" ht="12.75">
      <c r="B72" s="45"/>
      <c r="C72" s="45"/>
      <c r="D72" s="45"/>
      <c r="E72" s="45"/>
      <c r="F72" s="45"/>
      <c r="G72" s="45"/>
      <c r="H72" s="45"/>
      <c r="I72" s="45"/>
    </row>
    <row r="73" spans="2:9" ht="12.75">
      <c r="B73" s="45"/>
      <c r="C73" s="45"/>
      <c r="D73" s="45"/>
      <c r="E73" s="45"/>
      <c r="F73" s="45"/>
      <c r="G73" s="45"/>
      <c r="H73" s="45"/>
      <c r="I73" s="45"/>
    </row>
    <row r="74" spans="2:9" ht="12.75">
      <c r="B74" s="45"/>
      <c r="C74" s="45"/>
      <c r="D74" s="45"/>
      <c r="E74" s="45"/>
      <c r="F74" s="45"/>
      <c r="G74" s="45"/>
      <c r="H74" s="45"/>
      <c r="I74" s="45"/>
    </row>
    <row r="75" spans="2:9" ht="12.75">
      <c r="B75" s="45"/>
      <c r="C75" s="45"/>
      <c r="D75" s="45"/>
      <c r="E75" s="45"/>
      <c r="F75" s="45"/>
      <c r="G75" s="45"/>
      <c r="H75" s="45"/>
      <c r="I75" s="45"/>
    </row>
    <row r="76" spans="2:9" ht="12.75">
      <c r="B76" s="45"/>
      <c r="C76" s="45"/>
      <c r="D76" s="45"/>
      <c r="E76" s="45"/>
      <c r="F76" s="45"/>
      <c r="G76" s="45"/>
      <c r="H76" s="45"/>
      <c r="I76" s="45"/>
    </row>
    <row r="77" spans="2:9" ht="12.75">
      <c r="B77" s="45"/>
      <c r="C77" s="45"/>
      <c r="D77" s="45"/>
      <c r="E77" s="45"/>
      <c r="F77" s="45"/>
      <c r="G77" s="45"/>
      <c r="H77" s="45"/>
      <c r="I77" s="45"/>
    </row>
    <row r="78" spans="2:9" ht="12.75">
      <c r="B78" s="45"/>
      <c r="C78" s="45"/>
      <c r="D78" s="45"/>
      <c r="E78" s="45"/>
      <c r="F78" s="45"/>
      <c r="G78" s="45"/>
      <c r="H78" s="45"/>
      <c r="I78" s="45"/>
    </row>
    <row r="79" spans="2:9" ht="12.75">
      <c r="B79" s="45"/>
      <c r="C79" s="45"/>
      <c r="D79" s="45"/>
      <c r="E79" s="45"/>
      <c r="F79" s="45"/>
      <c r="G79" s="45"/>
      <c r="H79" s="45"/>
      <c r="I79" s="45"/>
    </row>
    <row r="80" spans="2:9" ht="12.75">
      <c r="B80" s="45"/>
      <c r="C80" s="45"/>
      <c r="D80" s="45"/>
      <c r="E80" s="45"/>
      <c r="F80" s="45"/>
      <c r="G80" s="45"/>
      <c r="H80" s="45"/>
      <c r="I80" s="45"/>
    </row>
    <row r="81" spans="2:9" ht="12.75">
      <c r="B81" s="45"/>
      <c r="C81" s="45"/>
      <c r="D81" s="45"/>
      <c r="E81" s="45"/>
      <c r="F81" s="45"/>
      <c r="G81" s="45"/>
      <c r="H81" s="45"/>
      <c r="I81" s="45"/>
    </row>
    <row r="82" spans="2:9" ht="12.75">
      <c r="B82" s="45"/>
      <c r="C82" s="45"/>
      <c r="D82" s="45"/>
      <c r="E82" s="45"/>
      <c r="F82" s="45"/>
      <c r="G82" s="45"/>
      <c r="H82" s="45"/>
      <c r="I82" s="45"/>
    </row>
    <row r="83" spans="2:9" ht="12.75">
      <c r="B83" s="45"/>
      <c r="C83" s="45"/>
      <c r="D83" s="45"/>
      <c r="E83" s="45"/>
      <c r="F83" s="45"/>
      <c r="G83" s="45"/>
      <c r="H83" s="45"/>
      <c r="I83" s="45"/>
    </row>
    <row r="84" spans="2:9" ht="12.75">
      <c r="B84" s="45"/>
      <c r="C84" s="45"/>
      <c r="D84" s="45"/>
      <c r="E84" s="45"/>
      <c r="F84" s="45"/>
      <c r="G84" s="45"/>
      <c r="H84" s="45"/>
      <c r="I84" s="45"/>
    </row>
    <row r="85" spans="2:9" ht="12.75">
      <c r="B85" s="45"/>
      <c r="C85" s="45"/>
      <c r="D85" s="45"/>
      <c r="E85" s="45"/>
      <c r="F85" s="45"/>
      <c r="G85" s="45"/>
      <c r="H85" s="45"/>
      <c r="I85" s="45"/>
    </row>
    <row r="86" spans="2:9" ht="12.75">
      <c r="B86" s="45"/>
      <c r="C86" s="45"/>
      <c r="D86" s="45"/>
      <c r="E86" s="45"/>
      <c r="F86" s="45"/>
      <c r="G86" s="45"/>
      <c r="H86" s="45"/>
      <c r="I86" s="45"/>
    </row>
    <row r="87" spans="2:9" ht="12.75">
      <c r="B87" s="45"/>
      <c r="C87" s="45"/>
      <c r="D87" s="45"/>
      <c r="E87" s="45"/>
      <c r="F87" s="45"/>
      <c r="G87" s="45"/>
      <c r="H87" s="45"/>
      <c r="I87" s="45"/>
    </row>
    <row r="88" spans="2:9" ht="12.75">
      <c r="B88" s="45"/>
      <c r="C88" s="45"/>
      <c r="D88" s="45"/>
      <c r="E88" s="45"/>
      <c r="F88" s="45"/>
      <c r="G88" s="45"/>
      <c r="H88" s="45"/>
      <c r="I88" s="45"/>
    </row>
    <row r="89" spans="2:9" ht="12.75">
      <c r="B89" s="45"/>
      <c r="C89" s="45"/>
      <c r="D89" s="45"/>
      <c r="E89" s="45"/>
      <c r="F89" s="45"/>
      <c r="G89" s="45"/>
      <c r="H89" s="45"/>
      <c r="I89" s="45"/>
    </row>
    <row r="90" spans="2:9" ht="12.75">
      <c r="B90" s="45"/>
      <c r="C90" s="45"/>
      <c r="D90" s="45"/>
      <c r="E90" s="45"/>
      <c r="F90" s="45"/>
      <c r="G90" s="45"/>
      <c r="H90" s="45"/>
      <c r="I90" s="45"/>
    </row>
    <row r="91" spans="2:9" ht="12.75">
      <c r="B91" s="45"/>
      <c r="C91" s="45"/>
      <c r="D91" s="45"/>
      <c r="E91" s="45"/>
      <c r="F91" s="45"/>
      <c r="G91" s="45"/>
      <c r="H91" s="45"/>
      <c r="I91" s="45"/>
    </row>
    <row r="92" spans="2:9" ht="12.75">
      <c r="B92" s="45"/>
      <c r="C92" s="45"/>
      <c r="D92" s="45"/>
      <c r="E92" s="45"/>
      <c r="F92" s="45"/>
      <c r="G92" s="45"/>
      <c r="H92" s="45"/>
      <c r="I92" s="45"/>
    </row>
    <row r="93" spans="2:9" ht="12.75">
      <c r="B93" s="45"/>
      <c r="C93" s="45"/>
      <c r="D93" s="45"/>
      <c r="E93" s="45"/>
      <c r="F93" s="45"/>
      <c r="G93" s="45"/>
      <c r="H93" s="45"/>
      <c r="I93" s="45"/>
    </row>
    <row r="94" spans="2:9" ht="12.75">
      <c r="B94" s="45"/>
      <c r="C94" s="45"/>
      <c r="D94" s="45"/>
      <c r="E94" s="45"/>
      <c r="F94" s="45"/>
      <c r="G94" s="45"/>
      <c r="H94" s="45"/>
      <c r="I94" s="45"/>
    </row>
    <row r="95" spans="2:9" ht="12.75">
      <c r="B95" s="45"/>
      <c r="C95" s="45"/>
      <c r="D95" s="45"/>
      <c r="E95" s="45"/>
      <c r="F95" s="45"/>
      <c r="G95" s="45"/>
      <c r="H95" s="45"/>
      <c r="I95" s="45"/>
    </row>
    <row r="96" spans="2:9" ht="12.75">
      <c r="B96" s="45"/>
      <c r="C96" s="45"/>
      <c r="D96" s="45"/>
      <c r="E96" s="45"/>
      <c r="F96" s="45"/>
      <c r="G96" s="45"/>
      <c r="H96" s="45"/>
      <c r="I96" s="45"/>
    </row>
    <row r="97" spans="2:9" ht="12.75">
      <c r="B97" s="45"/>
      <c r="C97" s="45"/>
      <c r="D97" s="45"/>
      <c r="E97" s="45"/>
      <c r="F97" s="45"/>
      <c r="G97" s="45"/>
      <c r="H97" s="45"/>
      <c r="I97" s="45"/>
    </row>
    <row r="98" spans="2:9" ht="12.75">
      <c r="B98" s="45"/>
      <c r="C98" s="45"/>
      <c r="D98" s="45"/>
      <c r="E98" s="45"/>
      <c r="F98" s="45"/>
      <c r="G98" s="45"/>
      <c r="H98" s="45"/>
      <c r="I98" s="45"/>
    </row>
    <row r="99" spans="2:9" ht="12.75">
      <c r="B99" s="45"/>
      <c r="C99" s="45"/>
      <c r="D99" s="45"/>
      <c r="E99" s="45"/>
      <c r="F99" s="45"/>
      <c r="G99" s="45"/>
      <c r="H99" s="45"/>
      <c r="I99" s="45"/>
    </row>
    <row r="100" spans="2:9" ht="12.75">
      <c r="B100" s="45"/>
      <c r="C100" s="45"/>
      <c r="D100" s="45"/>
      <c r="E100" s="45"/>
      <c r="F100" s="45"/>
      <c r="G100" s="45"/>
      <c r="H100" s="45"/>
      <c r="I100" s="45"/>
    </row>
    <row r="101" spans="2:9" ht="12.75">
      <c r="B101" s="45"/>
      <c r="C101" s="45"/>
      <c r="D101" s="45"/>
      <c r="E101" s="45"/>
      <c r="F101" s="45"/>
      <c r="G101" s="45"/>
      <c r="H101" s="45"/>
      <c r="I101" s="45"/>
    </row>
    <row r="102" spans="2:9" ht="12.75">
      <c r="B102" s="45"/>
      <c r="C102" s="45"/>
      <c r="D102" s="45"/>
      <c r="E102" s="45"/>
      <c r="F102" s="45"/>
      <c r="G102" s="45"/>
      <c r="H102" s="45"/>
      <c r="I102" s="45"/>
    </row>
    <row r="103" spans="2:9" ht="12.75">
      <c r="B103" s="45"/>
      <c r="C103" s="45"/>
      <c r="D103" s="45"/>
      <c r="E103" s="45"/>
      <c r="F103" s="45"/>
      <c r="G103" s="45"/>
      <c r="H103" s="45"/>
      <c r="I103" s="45"/>
    </row>
    <row r="104" spans="2:9" ht="12.75">
      <c r="B104" s="45"/>
      <c r="C104" s="45"/>
      <c r="D104" s="45"/>
      <c r="E104" s="45"/>
      <c r="F104" s="45"/>
      <c r="G104" s="45"/>
      <c r="H104" s="45"/>
      <c r="I104" s="45"/>
    </row>
    <row r="105" spans="2:9" ht="12.75">
      <c r="B105" s="45"/>
      <c r="C105" s="45"/>
      <c r="D105" s="45"/>
      <c r="E105" s="45"/>
      <c r="F105" s="45"/>
      <c r="G105" s="45"/>
      <c r="H105" s="45"/>
      <c r="I105" s="45"/>
    </row>
    <row r="106" spans="2:9" ht="12.75">
      <c r="B106" s="45"/>
      <c r="C106" s="45"/>
      <c r="D106" s="45"/>
      <c r="E106" s="45"/>
      <c r="F106" s="45"/>
      <c r="G106" s="45"/>
      <c r="H106" s="45"/>
      <c r="I106" s="45"/>
    </row>
    <row r="107" spans="2:9" ht="12.75">
      <c r="B107" s="45"/>
      <c r="C107" s="45"/>
      <c r="D107" s="45"/>
      <c r="E107" s="45"/>
      <c r="F107" s="45"/>
      <c r="G107" s="45"/>
      <c r="H107" s="45"/>
      <c r="I107" s="45"/>
    </row>
    <row r="108" spans="2:9" ht="12.75">
      <c r="B108" s="45"/>
      <c r="C108" s="45"/>
      <c r="D108" s="45"/>
      <c r="E108" s="45"/>
      <c r="F108" s="45"/>
      <c r="G108" s="45"/>
      <c r="H108" s="45"/>
      <c r="I108" s="45"/>
    </row>
    <row r="109" spans="2:9" ht="12.75">
      <c r="B109" s="45"/>
      <c r="C109" s="45"/>
      <c r="D109" s="45"/>
      <c r="E109" s="45"/>
      <c r="F109" s="45"/>
      <c r="G109" s="45"/>
      <c r="H109" s="45"/>
      <c r="I109" s="45"/>
    </row>
    <row r="110" spans="2:9" ht="12.75">
      <c r="B110" s="45"/>
      <c r="C110" s="45"/>
      <c r="D110" s="45"/>
      <c r="E110" s="45"/>
      <c r="F110" s="45"/>
      <c r="G110" s="45"/>
      <c r="H110" s="45"/>
      <c r="I110" s="45"/>
    </row>
    <row r="111" spans="2:9" ht="12.75">
      <c r="B111" s="45"/>
      <c r="C111" s="45"/>
      <c r="D111" s="45"/>
      <c r="E111" s="45"/>
      <c r="F111" s="45"/>
      <c r="G111" s="45"/>
      <c r="H111" s="45"/>
      <c r="I111" s="45"/>
    </row>
    <row r="112" spans="2:9" ht="12.75">
      <c r="B112" s="45"/>
      <c r="C112" s="45"/>
      <c r="D112" s="45"/>
      <c r="E112" s="45"/>
      <c r="F112" s="45"/>
      <c r="G112" s="45"/>
      <c r="H112" s="45"/>
      <c r="I112" s="45"/>
    </row>
    <row r="113" spans="2:9" ht="12.75">
      <c r="B113" s="45"/>
      <c r="C113" s="45"/>
      <c r="D113" s="45"/>
      <c r="E113" s="45"/>
      <c r="F113" s="45"/>
      <c r="G113" s="45"/>
      <c r="H113" s="45"/>
      <c r="I113" s="45"/>
    </row>
    <row r="114" spans="2:9" ht="12.75">
      <c r="B114" s="45"/>
      <c r="C114" s="45"/>
      <c r="D114" s="45"/>
      <c r="E114" s="45"/>
      <c r="F114" s="45"/>
      <c r="G114" s="45"/>
      <c r="H114" s="45"/>
      <c r="I114" s="45"/>
    </row>
    <row r="115" spans="2:9" ht="12.75">
      <c r="B115" s="45"/>
      <c r="C115" s="45"/>
      <c r="D115" s="45"/>
      <c r="E115" s="45"/>
      <c r="F115" s="45"/>
      <c r="G115" s="45"/>
      <c r="H115" s="45"/>
      <c r="I115" s="45"/>
    </row>
    <row r="116" spans="2:9" ht="12.75">
      <c r="B116" s="45"/>
      <c r="C116" s="45"/>
      <c r="D116" s="45"/>
      <c r="E116" s="45"/>
      <c r="F116" s="45"/>
      <c r="G116" s="45"/>
      <c r="H116" s="45"/>
      <c r="I116" s="45"/>
    </row>
    <row r="117" spans="2:9" ht="12.75">
      <c r="B117" s="45"/>
      <c r="C117" s="45"/>
      <c r="D117" s="45"/>
      <c r="E117" s="45"/>
      <c r="F117" s="45"/>
      <c r="G117" s="45"/>
      <c r="H117" s="45"/>
      <c r="I117" s="45"/>
    </row>
    <row r="118" spans="2:9" ht="12.75">
      <c r="B118" s="45"/>
      <c r="C118" s="45"/>
      <c r="D118" s="45"/>
      <c r="E118" s="45"/>
      <c r="F118" s="45"/>
      <c r="G118" s="45"/>
      <c r="H118" s="45"/>
      <c r="I118" s="45"/>
    </row>
    <row r="119" spans="2:9" ht="12.75">
      <c r="B119" s="45"/>
      <c r="C119" s="45"/>
      <c r="D119" s="45"/>
      <c r="E119" s="45"/>
      <c r="F119" s="45"/>
      <c r="G119" s="45"/>
      <c r="H119" s="45"/>
      <c r="I119" s="45"/>
    </row>
    <row r="120" spans="2:9" ht="12.75">
      <c r="B120" s="45"/>
      <c r="C120" s="45"/>
      <c r="D120" s="45"/>
      <c r="E120" s="45"/>
      <c r="F120" s="45"/>
      <c r="G120" s="45"/>
      <c r="H120" s="45"/>
      <c r="I120" s="45"/>
    </row>
    <row r="121" spans="2:9" ht="12.75">
      <c r="B121" s="45"/>
      <c r="C121" s="45"/>
      <c r="D121" s="45"/>
      <c r="E121" s="45"/>
      <c r="F121" s="45"/>
      <c r="G121" s="45"/>
      <c r="H121" s="45"/>
      <c r="I121" s="45"/>
    </row>
    <row r="122" spans="2:9" ht="12.75">
      <c r="B122" s="45"/>
      <c r="C122" s="45"/>
      <c r="D122" s="45"/>
      <c r="E122" s="45"/>
      <c r="F122" s="45"/>
      <c r="G122" s="45"/>
      <c r="H122" s="45"/>
      <c r="I122" s="45"/>
    </row>
    <row r="123" spans="2:9" ht="12.75">
      <c r="B123" s="45"/>
      <c r="C123" s="45"/>
      <c r="D123" s="45"/>
      <c r="E123" s="45"/>
      <c r="F123" s="45"/>
      <c r="G123" s="45"/>
      <c r="H123" s="45"/>
      <c r="I123" s="45"/>
    </row>
    <row r="124" spans="2:9" ht="12.75">
      <c r="B124" s="45"/>
      <c r="C124" s="45"/>
      <c r="D124" s="45"/>
      <c r="E124" s="45"/>
      <c r="F124" s="45"/>
      <c r="G124" s="45"/>
      <c r="H124" s="45"/>
      <c r="I124" s="45"/>
    </row>
    <row r="125" spans="2:9" ht="12.75">
      <c r="B125" s="45"/>
      <c r="C125" s="45"/>
      <c r="D125" s="45"/>
      <c r="E125" s="45"/>
      <c r="F125" s="45"/>
      <c r="G125" s="45"/>
      <c r="H125" s="45"/>
      <c r="I125" s="45"/>
    </row>
    <row r="126" spans="2:9" ht="12.75">
      <c r="B126" s="45"/>
      <c r="C126" s="45"/>
      <c r="D126" s="45"/>
      <c r="E126" s="45"/>
      <c r="F126" s="45"/>
      <c r="G126" s="45"/>
      <c r="H126" s="45"/>
      <c r="I126" s="45"/>
    </row>
    <row r="127" spans="2:9" ht="12.75">
      <c r="B127" s="45"/>
      <c r="C127" s="45"/>
      <c r="D127" s="45"/>
      <c r="E127" s="45"/>
      <c r="F127" s="45"/>
      <c r="G127" s="45"/>
      <c r="H127" s="45"/>
      <c r="I127" s="45"/>
    </row>
    <row r="128" spans="2:9" ht="12.75">
      <c r="B128" s="45"/>
      <c r="C128" s="45"/>
      <c r="D128" s="45"/>
      <c r="E128" s="45"/>
      <c r="F128" s="45"/>
      <c r="G128" s="45"/>
      <c r="H128" s="45"/>
      <c r="I128" s="45"/>
    </row>
    <row r="129" spans="2:9" ht="12.75">
      <c r="B129" s="45"/>
      <c r="C129" s="45"/>
      <c r="D129" s="45"/>
      <c r="E129" s="45"/>
      <c r="F129" s="45"/>
      <c r="G129" s="45"/>
      <c r="H129" s="45"/>
      <c r="I129" s="45"/>
    </row>
    <row r="130" spans="2:9" ht="12.75">
      <c r="B130" s="45"/>
      <c r="C130" s="45"/>
      <c r="D130" s="45"/>
      <c r="E130" s="45"/>
      <c r="F130" s="45"/>
      <c r="G130" s="45"/>
      <c r="H130" s="45"/>
      <c r="I130" s="45"/>
    </row>
    <row r="131" spans="2:9" ht="12.75">
      <c r="B131" s="45"/>
      <c r="C131" s="45"/>
      <c r="D131" s="45"/>
      <c r="E131" s="45"/>
      <c r="F131" s="45"/>
      <c r="G131" s="45"/>
      <c r="H131" s="45"/>
      <c r="I131" s="45"/>
    </row>
    <row r="132" spans="2:9" ht="12.75">
      <c r="B132" s="45"/>
      <c r="C132" s="45"/>
      <c r="D132" s="45"/>
      <c r="E132" s="45"/>
      <c r="F132" s="45"/>
      <c r="G132" s="45"/>
      <c r="H132" s="45"/>
      <c r="I132" s="45"/>
    </row>
    <row r="133" spans="2:9" ht="12.75">
      <c r="B133" s="45"/>
      <c r="C133" s="45"/>
      <c r="D133" s="45"/>
      <c r="E133" s="45"/>
      <c r="F133" s="45"/>
      <c r="G133" s="45"/>
      <c r="H133" s="45"/>
      <c r="I133" s="45"/>
    </row>
    <row r="134" spans="2:9" ht="12.75">
      <c r="B134" s="45"/>
      <c r="C134" s="45"/>
      <c r="D134" s="45"/>
      <c r="E134" s="45"/>
      <c r="F134" s="45"/>
      <c r="G134" s="45"/>
      <c r="H134" s="45"/>
      <c r="I134" s="45"/>
    </row>
    <row r="135" spans="2:9" ht="12.75">
      <c r="B135" s="45"/>
      <c r="C135" s="45"/>
      <c r="D135" s="45"/>
      <c r="E135" s="45"/>
      <c r="F135" s="45"/>
      <c r="G135" s="45"/>
      <c r="H135" s="45"/>
      <c r="I135" s="45"/>
    </row>
    <row r="136" spans="2:9" ht="12.75">
      <c r="B136" s="45"/>
      <c r="C136" s="45"/>
      <c r="D136" s="45"/>
      <c r="E136" s="45"/>
      <c r="F136" s="45"/>
      <c r="G136" s="45"/>
      <c r="H136" s="45"/>
      <c r="I136" s="45"/>
    </row>
    <row r="137" spans="2:9" ht="12.75">
      <c r="B137" s="45"/>
      <c r="C137" s="45"/>
      <c r="D137" s="45"/>
      <c r="E137" s="45"/>
      <c r="F137" s="45"/>
      <c r="G137" s="45"/>
      <c r="H137" s="45"/>
      <c r="I137" s="45"/>
    </row>
    <row r="138" spans="2:9" ht="12.75">
      <c r="B138" s="45"/>
      <c r="C138" s="45"/>
      <c r="D138" s="45"/>
      <c r="E138" s="45"/>
      <c r="F138" s="45"/>
      <c r="G138" s="45"/>
      <c r="H138" s="45"/>
      <c r="I138" s="45"/>
    </row>
    <row r="139" spans="2:9" ht="12.75">
      <c r="B139" s="45"/>
      <c r="C139" s="45"/>
      <c r="D139" s="45"/>
      <c r="E139" s="45"/>
      <c r="F139" s="45"/>
      <c r="G139" s="45"/>
      <c r="H139" s="45"/>
      <c r="I139" s="45"/>
    </row>
    <row r="140" spans="2:9" ht="12.75">
      <c r="B140" s="45"/>
      <c r="C140" s="45"/>
      <c r="D140" s="45"/>
      <c r="E140" s="45"/>
      <c r="F140" s="45"/>
      <c r="G140" s="45"/>
      <c r="H140" s="45"/>
      <c r="I140" s="45"/>
    </row>
    <row r="141" spans="2:9" ht="12.75">
      <c r="B141" s="45"/>
      <c r="C141" s="45"/>
      <c r="D141" s="45"/>
      <c r="E141" s="45"/>
      <c r="F141" s="45"/>
      <c r="G141" s="45"/>
      <c r="H141" s="45"/>
      <c r="I141" s="45"/>
    </row>
    <row r="142" spans="2:9" ht="12.75">
      <c r="B142" s="45"/>
      <c r="C142" s="45"/>
      <c r="D142" s="45"/>
      <c r="E142" s="45"/>
      <c r="F142" s="45"/>
      <c r="G142" s="45"/>
      <c r="H142" s="45"/>
      <c r="I142" s="45"/>
    </row>
    <row r="143" spans="2:9" ht="12.75">
      <c r="B143" s="45"/>
      <c r="C143" s="45"/>
      <c r="D143" s="45"/>
      <c r="E143" s="45"/>
      <c r="F143" s="45"/>
      <c r="G143" s="45"/>
      <c r="H143" s="45"/>
      <c r="I143" s="45"/>
    </row>
    <row r="144" spans="2:9" ht="12.75">
      <c r="B144" s="45"/>
      <c r="C144" s="45"/>
      <c r="D144" s="45"/>
      <c r="E144" s="45"/>
      <c r="F144" s="45"/>
      <c r="G144" s="45"/>
      <c r="H144" s="45"/>
      <c r="I144" s="45"/>
    </row>
    <row r="145" spans="2:9" ht="12.75">
      <c r="B145" s="45"/>
      <c r="C145" s="45"/>
      <c r="D145" s="45"/>
      <c r="E145" s="45"/>
      <c r="F145" s="45"/>
      <c r="G145" s="45"/>
      <c r="H145" s="45"/>
      <c r="I145" s="45"/>
    </row>
    <row r="146" spans="2:9" ht="12.75">
      <c r="B146" s="45"/>
      <c r="C146" s="45"/>
      <c r="D146" s="45"/>
      <c r="E146" s="45"/>
      <c r="F146" s="45"/>
      <c r="G146" s="45"/>
      <c r="H146" s="45"/>
      <c r="I146" s="45"/>
    </row>
    <row r="147" spans="2:9" ht="12.75">
      <c r="B147" s="45"/>
      <c r="C147" s="45"/>
      <c r="D147" s="45"/>
      <c r="E147" s="45"/>
      <c r="F147" s="45"/>
      <c r="G147" s="45"/>
      <c r="H147" s="45"/>
      <c r="I147" s="45"/>
    </row>
    <row r="148" spans="2:9" ht="12.75">
      <c r="B148" s="45"/>
      <c r="C148" s="45"/>
      <c r="D148" s="45"/>
      <c r="E148" s="45"/>
      <c r="F148" s="45"/>
      <c r="G148" s="45"/>
      <c r="H148" s="45"/>
      <c r="I148" s="45"/>
    </row>
    <row r="149" spans="2:9" ht="12.75">
      <c r="B149" s="45"/>
      <c r="C149" s="45"/>
      <c r="D149" s="45"/>
      <c r="E149" s="45"/>
      <c r="F149" s="45"/>
      <c r="G149" s="45"/>
      <c r="H149" s="45"/>
      <c r="I149" s="45"/>
    </row>
    <row r="150" spans="2:9" ht="12.75">
      <c r="B150" s="45"/>
      <c r="C150" s="45"/>
      <c r="D150" s="45"/>
      <c r="E150" s="45"/>
      <c r="F150" s="45"/>
      <c r="G150" s="45"/>
      <c r="H150" s="45"/>
      <c r="I150" s="45"/>
    </row>
    <row r="151" spans="2:9" ht="12.75">
      <c r="B151" s="45"/>
      <c r="C151" s="45"/>
      <c r="D151" s="45"/>
      <c r="E151" s="45"/>
      <c r="F151" s="45"/>
      <c r="G151" s="45"/>
      <c r="H151" s="45"/>
      <c r="I151" s="45"/>
    </row>
    <row r="152" spans="2:9" ht="12.75">
      <c r="B152" s="45"/>
      <c r="C152" s="45"/>
      <c r="D152" s="45"/>
      <c r="E152" s="45"/>
      <c r="F152" s="45"/>
      <c r="G152" s="45"/>
      <c r="H152" s="45"/>
      <c r="I152" s="45"/>
    </row>
    <row r="153" spans="2:9" ht="12.75">
      <c r="B153" s="45"/>
      <c r="C153" s="45"/>
      <c r="D153" s="45"/>
      <c r="E153" s="45"/>
      <c r="F153" s="45"/>
      <c r="G153" s="45"/>
      <c r="H153" s="45"/>
      <c r="I153" s="45"/>
    </row>
    <row r="154" spans="2:9" ht="12.75">
      <c r="B154" s="45"/>
      <c r="C154" s="45"/>
      <c r="D154" s="45"/>
      <c r="E154" s="45"/>
      <c r="F154" s="45"/>
      <c r="G154" s="45"/>
      <c r="H154" s="45"/>
      <c r="I154" s="45"/>
    </row>
    <row r="155" spans="2:9" ht="12.75">
      <c r="B155" s="45"/>
      <c r="C155" s="45"/>
      <c r="D155" s="45"/>
      <c r="E155" s="45"/>
      <c r="F155" s="45"/>
      <c r="G155" s="45"/>
      <c r="H155" s="45"/>
      <c r="I155" s="45"/>
    </row>
    <row r="156" spans="2:9" ht="12.75">
      <c r="B156" s="45"/>
      <c r="C156" s="45"/>
      <c r="D156" s="45"/>
      <c r="E156" s="45"/>
      <c r="F156" s="45"/>
      <c r="G156" s="45"/>
      <c r="H156" s="45"/>
      <c r="I156" s="45"/>
    </row>
    <row r="157" spans="2:9" ht="12.75">
      <c r="B157" s="45"/>
      <c r="C157" s="45"/>
      <c r="D157" s="45"/>
      <c r="E157" s="45"/>
      <c r="F157" s="45"/>
      <c r="G157" s="45"/>
      <c r="H157" s="45"/>
      <c r="I157" s="45"/>
    </row>
    <row r="158" spans="2:9" ht="12.75">
      <c r="B158" s="45"/>
      <c r="C158" s="45"/>
      <c r="D158" s="45"/>
      <c r="E158" s="45"/>
      <c r="F158" s="45"/>
      <c r="G158" s="45"/>
      <c r="H158" s="45"/>
      <c r="I158" s="45"/>
    </row>
    <row r="159" spans="2:9" ht="12.75">
      <c r="B159" s="45"/>
      <c r="C159" s="45"/>
      <c r="D159" s="45"/>
      <c r="E159" s="45"/>
      <c r="F159" s="45"/>
      <c r="G159" s="45"/>
      <c r="H159" s="45"/>
      <c r="I159" s="45"/>
    </row>
    <row r="160" spans="2:9" ht="12.75">
      <c r="B160" s="45"/>
      <c r="C160" s="45"/>
      <c r="D160" s="45"/>
      <c r="E160" s="45"/>
      <c r="F160" s="45"/>
      <c r="G160" s="45"/>
      <c r="H160" s="45"/>
      <c r="I160" s="45"/>
    </row>
    <row r="161" spans="2:9" ht="12.75">
      <c r="B161" s="45"/>
      <c r="C161" s="45"/>
      <c r="D161" s="45"/>
      <c r="E161" s="45"/>
      <c r="F161" s="45"/>
      <c r="G161" s="45"/>
      <c r="H161" s="45"/>
      <c r="I161" s="45"/>
    </row>
    <row r="162" spans="2:9" ht="12.75">
      <c r="B162" s="45"/>
      <c r="C162" s="45"/>
      <c r="D162" s="45"/>
      <c r="E162" s="45"/>
      <c r="F162" s="45"/>
      <c r="G162" s="45"/>
      <c r="H162" s="45"/>
      <c r="I162" s="45"/>
    </row>
    <row r="163" spans="2:9" ht="12.75">
      <c r="B163" s="45"/>
      <c r="C163" s="45"/>
      <c r="D163" s="45"/>
      <c r="E163" s="45"/>
      <c r="F163" s="45"/>
      <c r="G163" s="45"/>
      <c r="H163" s="45"/>
      <c r="I163" s="45"/>
    </row>
    <row r="164" spans="2:9" ht="12.75">
      <c r="B164" s="45"/>
      <c r="C164" s="45"/>
      <c r="D164" s="45"/>
      <c r="E164" s="45"/>
      <c r="F164" s="45"/>
      <c r="G164" s="45"/>
      <c r="H164" s="45"/>
      <c r="I164" s="45"/>
    </row>
    <row r="165" spans="2:9" ht="12.75">
      <c r="B165" s="45"/>
      <c r="C165" s="45"/>
      <c r="D165" s="45"/>
      <c r="E165" s="45"/>
      <c r="F165" s="45"/>
      <c r="G165" s="45"/>
      <c r="H165" s="45"/>
      <c r="I165" s="45"/>
    </row>
    <row r="166" spans="2:9" ht="12.75">
      <c r="B166" s="45"/>
      <c r="C166" s="45"/>
      <c r="D166" s="45"/>
      <c r="E166" s="45"/>
      <c r="F166" s="45"/>
      <c r="G166" s="45"/>
      <c r="H166" s="45"/>
      <c r="I166" s="45"/>
    </row>
    <row r="167" spans="2:9" ht="12.75">
      <c r="B167" s="45"/>
      <c r="C167" s="45"/>
      <c r="D167" s="45"/>
      <c r="E167" s="45"/>
      <c r="F167" s="45"/>
      <c r="G167" s="45"/>
      <c r="H167" s="45"/>
      <c r="I167" s="45"/>
    </row>
    <row r="168" spans="2:9" ht="12.75">
      <c r="B168" s="45"/>
      <c r="C168" s="45"/>
      <c r="D168" s="45"/>
      <c r="E168" s="45"/>
      <c r="F168" s="45"/>
      <c r="G168" s="45"/>
      <c r="H168" s="45"/>
      <c r="I168" s="45"/>
    </row>
    <row r="169" spans="2:9" ht="12.75">
      <c r="B169" s="45"/>
      <c r="C169" s="45"/>
      <c r="D169" s="45"/>
      <c r="E169" s="45"/>
      <c r="F169" s="45"/>
      <c r="G169" s="45"/>
      <c r="H169" s="45"/>
      <c r="I169" s="45"/>
    </row>
    <row r="170" spans="2:9" ht="12.75">
      <c r="B170" s="45"/>
      <c r="C170" s="45"/>
      <c r="D170" s="45"/>
      <c r="E170" s="45"/>
      <c r="F170" s="45"/>
      <c r="G170" s="45"/>
      <c r="H170" s="45"/>
      <c r="I170" s="45"/>
    </row>
    <row r="171" spans="2:9" ht="12.75">
      <c r="B171" s="45"/>
      <c r="C171" s="45"/>
      <c r="D171" s="45"/>
      <c r="E171" s="45"/>
      <c r="F171" s="45"/>
      <c r="G171" s="45"/>
      <c r="H171" s="45"/>
      <c r="I171" s="45"/>
    </row>
    <row r="172" spans="2:9" ht="12.75">
      <c r="B172" s="45"/>
      <c r="C172" s="45"/>
      <c r="D172" s="45"/>
      <c r="E172" s="45"/>
      <c r="F172" s="45"/>
      <c r="G172" s="45"/>
      <c r="H172" s="45"/>
      <c r="I172" s="45"/>
    </row>
    <row r="173" spans="2:9" ht="12.75">
      <c r="B173" s="45"/>
      <c r="C173" s="45"/>
      <c r="D173" s="45"/>
      <c r="E173" s="45"/>
      <c r="F173" s="45"/>
      <c r="G173" s="45"/>
      <c r="H173" s="45"/>
      <c r="I173" s="45"/>
    </row>
    <row r="174" spans="2:9" ht="12.75">
      <c r="B174" s="45"/>
      <c r="C174" s="45"/>
      <c r="D174" s="45"/>
      <c r="E174" s="45"/>
      <c r="F174" s="45"/>
      <c r="G174" s="45"/>
      <c r="H174" s="45"/>
      <c r="I174" s="45"/>
    </row>
    <row r="175" spans="2:9" ht="12.75">
      <c r="B175" s="45"/>
      <c r="C175" s="45"/>
      <c r="D175" s="45"/>
      <c r="E175" s="45"/>
      <c r="F175" s="45"/>
      <c r="G175" s="45"/>
      <c r="H175" s="45"/>
      <c r="I175" s="45"/>
    </row>
    <row r="176" spans="2:9" ht="12.75">
      <c r="B176" s="45"/>
      <c r="C176" s="45"/>
      <c r="D176" s="45"/>
      <c r="E176" s="45"/>
      <c r="F176" s="45"/>
      <c r="G176" s="45"/>
      <c r="H176" s="45"/>
      <c r="I176" s="45"/>
    </row>
    <row r="177" spans="2:9" ht="12.75">
      <c r="B177" s="45"/>
      <c r="C177" s="45"/>
      <c r="D177" s="45"/>
      <c r="E177" s="45"/>
      <c r="F177" s="45"/>
      <c r="G177" s="45"/>
      <c r="H177" s="45"/>
      <c r="I177" s="45"/>
    </row>
    <row r="178" spans="2:9" ht="12.75">
      <c r="B178" s="45"/>
      <c r="C178" s="45"/>
      <c r="D178" s="45"/>
      <c r="E178" s="45"/>
      <c r="F178" s="45"/>
      <c r="G178" s="45"/>
      <c r="H178" s="45"/>
      <c r="I178" s="45"/>
    </row>
    <row r="179" spans="2:9" ht="12.75">
      <c r="B179" s="45"/>
      <c r="C179" s="45"/>
      <c r="D179" s="45"/>
      <c r="E179" s="45"/>
      <c r="F179" s="45"/>
      <c r="G179" s="45"/>
      <c r="H179" s="45"/>
      <c r="I179" s="45"/>
    </row>
    <row r="180" spans="2:9" ht="12.75">
      <c r="B180" s="45"/>
      <c r="C180" s="45"/>
      <c r="D180" s="45"/>
      <c r="E180" s="45"/>
      <c r="F180" s="45"/>
      <c r="G180" s="45"/>
      <c r="H180" s="45"/>
      <c r="I180" s="45"/>
    </row>
    <row r="181" spans="2:9" ht="12.75">
      <c r="B181" s="45"/>
      <c r="C181" s="45"/>
      <c r="D181" s="45"/>
      <c r="E181" s="45"/>
      <c r="F181" s="45"/>
      <c r="G181" s="45"/>
      <c r="H181" s="45"/>
      <c r="I181" s="45"/>
    </row>
    <row r="182" spans="2:9" ht="12.75">
      <c r="B182" s="45"/>
      <c r="C182" s="45"/>
      <c r="D182" s="45"/>
      <c r="E182" s="45"/>
      <c r="F182" s="45"/>
      <c r="G182" s="45"/>
      <c r="H182" s="45"/>
      <c r="I182" s="45"/>
    </row>
    <row r="183" spans="2:9" ht="12.75">
      <c r="B183" s="45"/>
      <c r="C183" s="45"/>
      <c r="D183" s="45"/>
      <c r="E183" s="45"/>
      <c r="F183" s="45"/>
      <c r="G183" s="45"/>
      <c r="H183" s="45"/>
      <c r="I183" s="45"/>
    </row>
    <row r="184" spans="2:9" ht="12.75">
      <c r="B184" s="45"/>
      <c r="C184" s="45"/>
      <c r="D184" s="45"/>
      <c r="E184" s="45"/>
      <c r="F184" s="45"/>
      <c r="G184" s="45"/>
      <c r="H184" s="45"/>
      <c r="I184" s="45"/>
    </row>
    <row r="185" spans="2:9" ht="12.75">
      <c r="B185" s="45"/>
      <c r="C185" s="45"/>
      <c r="D185" s="45"/>
      <c r="E185" s="45"/>
      <c r="F185" s="45"/>
      <c r="G185" s="45"/>
      <c r="H185" s="45"/>
      <c r="I185" s="45"/>
    </row>
    <row r="186" spans="2:9" ht="12.75">
      <c r="B186" s="45"/>
      <c r="C186" s="45"/>
      <c r="D186" s="45"/>
      <c r="E186" s="45"/>
      <c r="F186" s="45"/>
      <c r="G186" s="45"/>
      <c r="H186" s="45"/>
      <c r="I186" s="45"/>
    </row>
    <row r="187" spans="2:9" ht="12.75">
      <c r="B187" s="45"/>
      <c r="C187" s="45"/>
      <c r="D187" s="45"/>
      <c r="E187" s="45"/>
      <c r="F187" s="45"/>
      <c r="G187" s="45"/>
      <c r="H187" s="45"/>
      <c r="I187" s="45"/>
    </row>
    <row r="188" spans="2:9" ht="12.75">
      <c r="B188" s="45"/>
      <c r="C188" s="45"/>
      <c r="D188" s="45"/>
      <c r="E188" s="45"/>
      <c r="F188" s="45"/>
      <c r="G188" s="45"/>
      <c r="H188" s="45"/>
      <c r="I188" s="45"/>
    </row>
    <row r="189" spans="2:9" ht="12.75">
      <c r="B189" s="45"/>
      <c r="C189" s="45"/>
      <c r="D189" s="45"/>
      <c r="E189" s="45"/>
      <c r="F189" s="45"/>
      <c r="G189" s="45"/>
      <c r="H189" s="45"/>
      <c r="I189" s="45"/>
    </row>
    <row r="190" spans="2:9" ht="12.75">
      <c r="B190" s="45"/>
      <c r="C190" s="45"/>
      <c r="D190" s="45"/>
      <c r="E190" s="45"/>
      <c r="F190" s="45"/>
      <c r="G190" s="45"/>
      <c r="H190" s="45"/>
      <c r="I190" s="45"/>
    </row>
    <row r="191" spans="2:9" ht="12.75">
      <c r="B191" s="45"/>
      <c r="C191" s="45"/>
      <c r="D191" s="45"/>
      <c r="E191" s="45"/>
      <c r="F191" s="45"/>
      <c r="G191" s="45"/>
      <c r="H191" s="45"/>
      <c r="I191" s="45"/>
    </row>
  </sheetData>
  <sheetProtection/>
  <mergeCells count="4">
    <mergeCell ref="B4:C4"/>
    <mergeCell ref="D4:E4"/>
    <mergeCell ref="F4:G4"/>
    <mergeCell ref="H4:I4"/>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B215"/>
  <sheetViews>
    <sheetView zoomScale="125" zoomScaleNormal="125" zoomScalePageLayoutView="0" workbookViewId="0" topLeftCell="A1">
      <pane xSplit="1" ySplit="6" topLeftCell="X188" activePane="bottomRight" state="frozen"/>
      <selection pane="topLeft" activeCell="A1" sqref="A1"/>
      <selection pane="topRight" activeCell="B1" sqref="B1"/>
      <selection pane="bottomLeft" activeCell="A7" sqref="A7"/>
      <selection pane="bottomRight" activeCell="AC215" sqref="AC215"/>
    </sheetView>
  </sheetViews>
  <sheetFormatPr defaultColWidth="8.8515625" defaultRowHeight="12.75"/>
  <cols>
    <col min="1" max="1" width="33.7109375" style="13" customWidth="1"/>
    <col min="2" max="23" width="9.140625" style="0" hidden="1" customWidth="1"/>
    <col min="24" max="24" width="15.421875" style="58" customWidth="1"/>
    <col min="25" max="25" width="17.00390625" style="301" customWidth="1"/>
    <col min="26" max="26" width="0.13671875" style="590" hidden="1" customWidth="1"/>
    <col min="27" max="27" width="13.140625" style="886" customWidth="1"/>
    <col min="28" max="28" width="9.8515625" style="984" customWidth="1"/>
    <col min="29" max="34" width="8.8515625" style="0" customWidth="1"/>
    <col min="35" max="35" width="4.421875" style="0" customWidth="1"/>
  </cols>
  <sheetData>
    <row r="1" spans="1:28" s="33" customFormat="1" ht="36" customHeight="1">
      <c r="A1" s="46"/>
      <c r="B1" s="1256" t="s">
        <v>833</v>
      </c>
      <c r="C1" s="1256"/>
      <c r="D1" s="1256"/>
      <c r="E1" s="1256"/>
      <c r="F1" s="1256"/>
      <c r="G1" s="1256"/>
      <c r="H1" s="1256"/>
      <c r="I1" s="1256"/>
      <c r="J1" s="1256"/>
      <c r="K1" s="1256"/>
      <c r="L1" s="1256"/>
      <c r="M1" s="1256"/>
      <c r="N1" s="1256"/>
      <c r="O1" s="1256"/>
      <c r="P1" s="1256"/>
      <c r="Q1" s="1256"/>
      <c r="R1" s="1256"/>
      <c r="S1" s="1256"/>
      <c r="T1" s="1256"/>
      <c r="U1" s="1256"/>
      <c r="V1" s="1256"/>
      <c r="W1" s="1256"/>
      <c r="X1" s="1256"/>
      <c r="Y1" s="1256"/>
      <c r="Z1" s="618"/>
      <c r="AA1" s="1247"/>
      <c r="AB1" s="1247"/>
    </row>
    <row r="2" spans="2:28" ht="12.75" customHeight="1">
      <c r="B2" s="1258" t="s">
        <v>194</v>
      </c>
      <c r="C2" s="1258"/>
      <c r="D2" s="1265" t="s">
        <v>195</v>
      </c>
      <c r="E2" s="1258"/>
      <c r="F2" s="1258" t="s">
        <v>196</v>
      </c>
      <c r="G2" s="1258"/>
      <c r="H2" s="1258" t="s">
        <v>197</v>
      </c>
      <c r="I2" s="1258"/>
      <c r="J2" s="1258" t="s">
        <v>198</v>
      </c>
      <c r="K2" s="1258"/>
      <c r="L2" s="1266" t="s">
        <v>199</v>
      </c>
      <c r="M2" s="1266"/>
      <c r="N2" s="1266"/>
      <c r="O2" s="1266"/>
      <c r="P2" s="1258" t="s">
        <v>200</v>
      </c>
      <c r="Q2" s="1258"/>
      <c r="R2" s="1258" t="s">
        <v>201</v>
      </c>
      <c r="S2" s="1262"/>
      <c r="T2" s="1262"/>
      <c r="U2" s="1262"/>
      <c r="V2" s="1262"/>
      <c r="W2" s="1262"/>
      <c r="X2" s="1262"/>
      <c r="Y2" s="1263" t="s">
        <v>834</v>
      </c>
      <c r="Z2" s="1260" t="s">
        <v>897</v>
      </c>
      <c r="AA2" s="588"/>
      <c r="AB2" s="588"/>
    </row>
    <row r="3" spans="2:28" ht="12.75">
      <c r="B3" s="1258"/>
      <c r="C3" s="1258"/>
      <c r="D3" s="1258"/>
      <c r="E3" s="1258"/>
      <c r="F3" s="1258"/>
      <c r="G3" s="1258"/>
      <c r="H3" s="1258"/>
      <c r="I3" s="1258"/>
      <c r="J3" s="1258"/>
      <c r="K3" s="1258"/>
      <c r="L3" s="1258" t="s">
        <v>203</v>
      </c>
      <c r="M3" s="1258"/>
      <c r="N3" s="1258" t="s">
        <v>204</v>
      </c>
      <c r="O3" s="1258"/>
      <c r="P3" s="1258"/>
      <c r="Q3" s="1258"/>
      <c r="R3" s="1262"/>
      <c r="S3" s="1262"/>
      <c r="T3" s="1262"/>
      <c r="U3" s="1262"/>
      <c r="V3" s="1262"/>
      <c r="W3" s="1262"/>
      <c r="X3" s="1262"/>
      <c r="Y3" s="1264"/>
      <c r="Z3" s="1260"/>
      <c r="AA3" s="588"/>
      <c r="AB3" s="588"/>
    </row>
    <row r="4" spans="2:28" ht="12.75">
      <c r="B4" s="1258"/>
      <c r="C4" s="1258"/>
      <c r="D4" s="1258"/>
      <c r="E4" s="1258"/>
      <c r="F4" s="1258"/>
      <c r="G4" s="1258"/>
      <c r="H4" s="1258"/>
      <c r="I4" s="1258"/>
      <c r="J4" s="1258"/>
      <c r="K4" s="1258"/>
      <c r="L4" s="1258"/>
      <c r="M4" s="1258"/>
      <c r="N4" s="1258"/>
      <c r="O4" s="1258"/>
      <c r="P4" s="1258"/>
      <c r="Q4" s="1258"/>
      <c r="R4" s="1262"/>
      <c r="S4" s="1262"/>
      <c r="T4" s="1262"/>
      <c r="U4" s="1262"/>
      <c r="V4" s="1262"/>
      <c r="W4" s="1262"/>
      <c r="X4" s="1262"/>
      <c r="Y4" s="1264"/>
      <c r="Z4" s="1260"/>
      <c r="AA4" s="588"/>
      <c r="AB4" s="588"/>
    </row>
    <row r="5" spans="2:28" ht="12.75">
      <c r="B5" s="1258"/>
      <c r="C5" s="1258"/>
      <c r="D5" s="1258"/>
      <c r="E5" s="1258"/>
      <c r="F5" s="1258"/>
      <c r="G5" s="1258"/>
      <c r="H5" s="1258"/>
      <c r="I5" s="1258"/>
      <c r="J5" s="1258"/>
      <c r="K5" s="1258"/>
      <c r="L5" s="1258"/>
      <c r="M5" s="1258"/>
      <c r="N5" s="1258"/>
      <c r="O5" s="1258"/>
      <c r="P5" s="1258"/>
      <c r="Q5" s="1258"/>
      <c r="R5" s="1262"/>
      <c r="S5" s="1262"/>
      <c r="T5" s="1262"/>
      <c r="U5" s="1262"/>
      <c r="V5" s="1262"/>
      <c r="W5" s="1262"/>
      <c r="X5" s="1262"/>
      <c r="Y5" s="1264"/>
      <c r="Z5" s="1260"/>
      <c r="AA5" s="588"/>
      <c r="AB5" s="588"/>
    </row>
    <row r="6" spans="2:28" ht="12.75">
      <c r="B6" s="1257" t="s">
        <v>582</v>
      </c>
      <c r="C6" s="1257"/>
      <c r="D6" s="1257" t="s">
        <v>583</v>
      </c>
      <c r="E6" s="1257"/>
      <c r="F6" s="1257" t="s">
        <v>582</v>
      </c>
      <c r="G6" s="1257"/>
      <c r="H6" s="1257" t="s">
        <v>583</v>
      </c>
      <c r="I6" s="1257"/>
      <c r="J6" s="1257" t="s">
        <v>582</v>
      </c>
      <c r="K6" s="1257"/>
      <c r="L6" s="1257" t="s">
        <v>583</v>
      </c>
      <c r="M6" s="1257"/>
      <c r="N6" s="1257" t="s">
        <v>583</v>
      </c>
      <c r="O6" s="1257"/>
      <c r="P6" s="1257" t="s">
        <v>583</v>
      </c>
      <c r="Q6" s="1257"/>
      <c r="R6" s="1257" t="s">
        <v>582</v>
      </c>
      <c r="S6" s="1257"/>
      <c r="T6" s="1257" t="s">
        <v>137</v>
      </c>
      <c r="U6" s="1257"/>
      <c r="V6" s="587"/>
      <c r="W6" s="587"/>
      <c r="X6" s="1230" t="s">
        <v>584</v>
      </c>
      <c r="Y6" s="1231" t="s">
        <v>585</v>
      </c>
      <c r="Z6" s="589" t="s">
        <v>264</v>
      </c>
      <c r="AA6" s="876"/>
      <c r="AB6" s="1241"/>
    </row>
    <row r="7" spans="1:28" ht="12.75">
      <c r="A7" s="8" t="s">
        <v>812</v>
      </c>
      <c r="X7" s="602">
        <f>X8+X20+X30+X41+X70</f>
        <v>203.75452621177374</v>
      </c>
      <c r="Y7" s="1232">
        <f>Y8+Y20+Y30+Y41+Y70</f>
        <v>139.26388</v>
      </c>
      <c r="Z7" s="591"/>
      <c r="AA7" s="877"/>
      <c r="AB7" s="881"/>
    </row>
    <row r="8" spans="1:28" ht="12.75">
      <c r="A8" s="8" t="s">
        <v>906</v>
      </c>
      <c r="X8" s="602">
        <f>SUM(X9:X18)</f>
        <v>12.70453264081125</v>
      </c>
      <c r="Y8" s="1232">
        <f>SUM(Y9:Y18)</f>
        <v>2.989</v>
      </c>
      <c r="Z8" s="591"/>
      <c r="AA8" s="877"/>
      <c r="AB8" s="881"/>
    </row>
    <row r="9" spans="1:28" s="33" customFormat="1" ht="12.75">
      <c r="A9" s="46" t="s">
        <v>587</v>
      </c>
      <c r="B9" s="403">
        <v>5.845192533524538</v>
      </c>
      <c r="C9" s="403"/>
      <c r="D9" s="403"/>
      <c r="E9" s="403"/>
      <c r="F9" s="403"/>
      <c r="G9" s="403"/>
      <c r="H9" s="403"/>
      <c r="I9" s="403"/>
      <c r="J9" s="403"/>
      <c r="K9" s="403"/>
      <c r="L9" s="403"/>
      <c r="M9" s="403"/>
      <c r="N9" s="403"/>
      <c r="O9" s="403"/>
      <c r="P9" s="403">
        <v>60.30896552933418</v>
      </c>
      <c r="Q9" s="403"/>
      <c r="R9" s="403">
        <v>2.3200173833580093</v>
      </c>
      <c r="S9" s="403"/>
      <c r="T9" s="403">
        <v>0.1016993921472004</v>
      </c>
      <c r="U9" s="403"/>
      <c r="V9" s="403"/>
      <c r="W9" s="403"/>
      <c r="X9" s="688">
        <v>2.8831269176770578</v>
      </c>
      <c r="Y9" s="440">
        <v>0.98</v>
      </c>
      <c r="Z9" s="688"/>
      <c r="AA9" s="17"/>
      <c r="AB9" s="887"/>
    </row>
    <row r="10" spans="1:28" s="33" customFormat="1" ht="12.75">
      <c r="A10" s="46" t="s">
        <v>816</v>
      </c>
      <c r="B10" s="403">
        <v>2.5150839034963717</v>
      </c>
      <c r="C10" s="403"/>
      <c r="D10" s="403"/>
      <c r="E10" s="403"/>
      <c r="F10" s="403"/>
      <c r="G10" s="403"/>
      <c r="H10" s="403"/>
      <c r="I10" s="403"/>
      <c r="J10" s="403"/>
      <c r="K10" s="403"/>
      <c r="L10" s="403"/>
      <c r="M10" s="403"/>
      <c r="N10" s="403"/>
      <c r="O10" s="403"/>
      <c r="P10" s="403">
        <v>37.8044864</v>
      </c>
      <c r="Q10" s="403"/>
      <c r="R10" s="403">
        <v>1.5642693512504966</v>
      </c>
      <c r="S10" s="403"/>
      <c r="T10" s="403">
        <v>0.06857071128769301</v>
      </c>
      <c r="U10" s="403"/>
      <c r="V10" s="403"/>
      <c r="W10" s="403"/>
      <c r="X10" s="688">
        <v>1.943945379650453</v>
      </c>
      <c r="Y10" s="440">
        <v>0.588</v>
      </c>
      <c r="Z10" s="688"/>
      <c r="AA10" s="17"/>
      <c r="AB10" s="887"/>
    </row>
    <row r="11" spans="1:28" s="33" customFormat="1" ht="12.75">
      <c r="A11" s="46" t="s">
        <v>589</v>
      </c>
      <c r="B11" s="403">
        <v>0.6600557275255606</v>
      </c>
      <c r="C11" s="403"/>
      <c r="D11" s="403"/>
      <c r="E11" s="403"/>
      <c r="F11" s="403"/>
      <c r="G11" s="403"/>
      <c r="H11" s="403"/>
      <c r="I11" s="403"/>
      <c r="J11" s="403"/>
      <c r="K11" s="403"/>
      <c r="L11" s="403"/>
      <c r="M11" s="403"/>
      <c r="N11" s="403"/>
      <c r="O11" s="403"/>
      <c r="P11" s="403">
        <v>0.895444571107643</v>
      </c>
      <c r="Q11" s="403"/>
      <c r="R11" s="403">
        <v>0.06901240968429148</v>
      </c>
      <c r="S11" s="403"/>
      <c r="T11" s="403">
        <v>0.003025201520407298</v>
      </c>
      <c r="U11" s="403"/>
      <c r="V11" s="403"/>
      <c r="W11" s="403"/>
      <c r="X11" s="623">
        <v>0.0857629505027867</v>
      </c>
      <c r="Y11" s="440">
        <v>0.055</v>
      </c>
      <c r="Z11" s="888" t="e">
        <f>(Veg!#REF!/Veg!$B$9)</f>
        <v>#REF!</v>
      </c>
      <c r="AA11" s="887"/>
      <c r="AB11" s="887"/>
    </row>
    <row r="12" spans="1:28" s="33" customFormat="1" ht="12.75">
      <c r="A12" s="46" t="s">
        <v>590</v>
      </c>
      <c r="B12" s="403">
        <v>0.2689551220603903</v>
      </c>
      <c r="C12" s="403"/>
      <c r="D12" s="403"/>
      <c r="E12" s="403"/>
      <c r="F12" s="403"/>
      <c r="G12" s="403"/>
      <c r="H12" s="403"/>
      <c r="I12" s="403"/>
      <c r="J12" s="403"/>
      <c r="K12" s="403"/>
      <c r="L12" s="403"/>
      <c r="M12" s="403"/>
      <c r="N12" s="403"/>
      <c r="O12" s="403"/>
      <c r="P12" s="403">
        <v>0.7080721252371551</v>
      </c>
      <c r="Q12" s="403"/>
      <c r="R12" s="403">
        <v>0.07851549718967134</v>
      </c>
      <c r="S12" s="403"/>
      <c r="T12" s="403">
        <v>0.0034417752192732647</v>
      </c>
      <c r="U12" s="403"/>
      <c r="V12" s="403"/>
      <c r="W12" s="403"/>
      <c r="X12" s="623">
        <v>0.09757260657878741</v>
      </c>
      <c r="Y12" s="440">
        <v>0.017</v>
      </c>
      <c r="Z12" s="888" t="e">
        <f>(Veg!#REF!/Veg!$B$9)</f>
        <v>#REF!</v>
      </c>
      <c r="AA12" s="887"/>
      <c r="AB12" s="887"/>
    </row>
    <row r="13" spans="1:28" s="33" customFormat="1" ht="12.75">
      <c r="A13" s="46" t="s">
        <v>591</v>
      </c>
      <c r="B13" s="403">
        <v>10.932342874620794</v>
      </c>
      <c r="C13" s="403"/>
      <c r="D13" s="403"/>
      <c r="E13" s="403"/>
      <c r="F13" s="403"/>
      <c r="G13" s="403"/>
      <c r="H13" s="403"/>
      <c r="I13" s="403"/>
      <c r="J13" s="403"/>
      <c r="K13" s="403"/>
      <c r="L13" s="403"/>
      <c r="M13" s="403"/>
      <c r="N13" s="403"/>
      <c r="O13" s="403"/>
      <c r="P13" s="403">
        <v>0.556988642157939</v>
      </c>
      <c r="Q13" s="403"/>
      <c r="R13" s="403">
        <v>4.843152061280736</v>
      </c>
      <c r="S13" s="403"/>
      <c r="T13" s="403">
        <v>0.21230255611093635</v>
      </c>
      <c r="U13" s="403"/>
      <c r="V13" s="403"/>
      <c r="W13" s="403"/>
      <c r="X13" s="623">
        <v>6.0186713144669906</v>
      </c>
      <c r="Y13" s="440">
        <v>0.903</v>
      </c>
      <c r="Z13" s="888" t="e">
        <f>(Veg!#REF!/Veg!$B$9)</f>
        <v>#REF!</v>
      </c>
      <c r="AA13" s="887"/>
      <c r="AB13" s="887"/>
    </row>
    <row r="14" spans="1:28" s="33" customFormat="1" ht="12.75">
      <c r="A14" s="46" t="s">
        <v>592</v>
      </c>
      <c r="B14" s="403">
        <v>0.3230589961959659</v>
      </c>
      <c r="C14" s="403"/>
      <c r="D14" s="403"/>
      <c r="E14" s="403"/>
      <c r="F14" s="403"/>
      <c r="G14" s="403"/>
      <c r="H14" s="403"/>
      <c r="I14" s="403"/>
      <c r="J14" s="403"/>
      <c r="K14" s="403"/>
      <c r="L14" s="403"/>
      <c r="M14" s="403"/>
      <c r="N14" s="403"/>
      <c r="O14" s="403"/>
      <c r="P14" s="403">
        <v>0.876889014226386</v>
      </c>
      <c r="Q14" s="403"/>
      <c r="R14" s="403">
        <v>0.039772111484719555</v>
      </c>
      <c r="S14" s="403"/>
      <c r="T14" s="403">
        <v>0.0017434350239877068</v>
      </c>
      <c r="U14" s="403"/>
      <c r="V14" s="403"/>
      <c r="W14" s="403"/>
      <c r="X14" s="623">
        <v>0.049425511212539484</v>
      </c>
      <c r="Y14" s="440">
        <v>0.021</v>
      </c>
      <c r="Z14" s="888" t="e">
        <f>(Veg!#REF!/Veg!$B$9)</f>
        <v>#REF!</v>
      </c>
      <c r="AA14" s="887"/>
      <c r="AB14" s="887"/>
    </row>
    <row r="15" spans="1:28" s="33" customFormat="1" ht="12.75">
      <c r="A15" s="46" t="s">
        <v>593</v>
      </c>
      <c r="B15" s="403">
        <v>1.850567249678754</v>
      </c>
      <c r="C15" s="403"/>
      <c r="D15" s="403"/>
      <c r="E15" s="403"/>
      <c r="F15" s="403"/>
      <c r="G15" s="403"/>
      <c r="H15" s="403"/>
      <c r="I15" s="403"/>
      <c r="J15" s="403"/>
      <c r="K15" s="403"/>
      <c r="L15" s="403"/>
      <c r="M15" s="403"/>
      <c r="N15" s="403"/>
      <c r="O15" s="403"/>
      <c r="P15" s="403">
        <v>52.54002861326647</v>
      </c>
      <c r="Q15" s="403"/>
      <c r="R15" s="403">
        <v>0.8782786871897981</v>
      </c>
      <c r="S15" s="403"/>
      <c r="T15" s="403">
        <v>0.03849988765763499</v>
      </c>
      <c r="U15" s="403"/>
      <c r="V15" s="403"/>
      <c r="W15" s="403"/>
      <c r="X15" s="623">
        <v>1.0914525651501232</v>
      </c>
      <c r="Y15" s="440">
        <v>0.251</v>
      </c>
      <c r="Z15" s="888" t="e">
        <f>(Veg!#REF!/Veg!$B$9)</f>
        <v>#REF!</v>
      </c>
      <c r="AA15" s="887"/>
      <c r="AB15" s="887"/>
    </row>
    <row r="16" spans="1:28" s="33" customFormat="1" ht="12.75">
      <c r="A16" s="46" t="s">
        <v>835</v>
      </c>
      <c r="B16" s="403">
        <v>0.6740166346189416</v>
      </c>
      <c r="C16" s="403"/>
      <c r="D16" s="403"/>
      <c r="E16" s="403"/>
      <c r="F16" s="403"/>
      <c r="G16" s="403"/>
      <c r="H16" s="403"/>
      <c r="I16" s="403"/>
      <c r="J16" s="403"/>
      <c r="K16" s="403"/>
      <c r="L16" s="403"/>
      <c r="M16" s="403"/>
      <c r="N16" s="403"/>
      <c r="O16" s="403"/>
      <c r="P16" s="403">
        <v>56.615427999999994</v>
      </c>
      <c r="Q16" s="403"/>
      <c r="R16" s="403">
        <v>0.2924192321382316</v>
      </c>
      <c r="S16" s="403"/>
      <c r="T16" s="403">
        <v>0.012818377299210154</v>
      </c>
      <c r="U16" s="403"/>
      <c r="V16" s="403"/>
      <c r="W16" s="403"/>
      <c r="X16" s="623">
        <v>0.3633945872439582</v>
      </c>
      <c r="Y16" s="440">
        <v>0.123</v>
      </c>
      <c r="Z16" s="888" t="e">
        <f>(Veg!#REF!/Veg!$B$9)</f>
        <v>#REF!</v>
      </c>
      <c r="AA16" s="887"/>
      <c r="AB16" s="396"/>
    </row>
    <row r="17" spans="1:28" s="33" customFormat="1" ht="12.75">
      <c r="A17" s="46" t="s">
        <v>594</v>
      </c>
      <c r="B17" s="403">
        <v>0.403214625634273</v>
      </c>
      <c r="C17" s="403"/>
      <c r="D17" s="403"/>
      <c r="E17" s="403"/>
      <c r="F17" s="403"/>
      <c r="G17" s="403"/>
      <c r="H17" s="403"/>
      <c r="I17" s="403"/>
      <c r="J17" s="403"/>
      <c r="K17" s="403"/>
      <c r="L17" s="403"/>
      <c r="M17" s="403"/>
      <c r="N17" s="403"/>
      <c r="O17" s="403"/>
      <c r="P17" s="403">
        <v>0.833777556158129</v>
      </c>
      <c r="Q17" s="403"/>
      <c r="R17" s="403">
        <v>0.06702332046571405</v>
      </c>
      <c r="S17" s="403"/>
      <c r="T17" s="403">
        <v>0.0029380085683600675</v>
      </c>
      <c r="U17" s="403"/>
      <c r="V17" s="403"/>
      <c r="W17" s="403"/>
      <c r="X17" s="623">
        <v>0.08329107390872373</v>
      </c>
      <c r="Y17" s="440">
        <v>0.027</v>
      </c>
      <c r="Z17" s="888" t="e">
        <f>(Veg!#REF!/Veg!$B$9)</f>
        <v>#REF!</v>
      </c>
      <c r="AA17" s="887"/>
      <c r="AB17" s="396"/>
    </row>
    <row r="18" spans="1:28" s="33" customFormat="1" ht="12.75">
      <c r="A18" s="46" t="s">
        <v>595</v>
      </c>
      <c r="B18" s="888">
        <v>0.40191646559325084</v>
      </c>
      <c r="C18" s="888"/>
      <c r="D18" s="888"/>
      <c r="E18" s="888"/>
      <c r="F18" s="888"/>
      <c r="G18" s="888"/>
      <c r="H18" s="888"/>
      <c r="I18" s="888"/>
      <c r="J18" s="888"/>
      <c r="K18" s="888"/>
      <c r="L18" s="888"/>
      <c r="M18" s="888"/>
      <c r="N18" s="888"/>
      <c r="O18" s="888"/>
      <c r="P18" s="888">
        <v>0.824033566546505</v>
      </c>
      <c r="Q18" s="888"/>
      <c r="R18" s="888">
        <v>0.07072380699667855</v>
      </c>
      <c r="S18" s="888"/>
      <c r="T18" s="888">
        <v>0.0031002216765667313</v>
      </c>
      <c r="U18" s="888"/>
      <c r="V18" s="888"/>
      <c r="W18" s="888"/>
      <c r="X18" s="623">
        <v>0.08788973441982854</v>
      </c>
      <c r="Y18" s="440">
        <v>0.024</v>
      </c>
      <c r="Z18" s="888" t="e">
        <f>(Veg!#REF!/Veg!$B$9)</f>
        <v>#REF!</v>
      </c>
      <c r="AA18" s="887"/>
      <c r="AB18" s="396"/>
    </row>
    <row r="19" spans="1:28" s="33" customFormat="1" ht="12.75">
      <c r="A19" s="46"/>
      <c r="B19" s="888"/>
      <c r="C19" s="888"/>
      <c r="D19" s="888"/>
      <c r="E19" s="888"/>
      <c r="F19" s="888"/>
      <c r="G19" s="888"/>
      <c r="H19" s="888"/>
      <c r="I19" s="888"/>
      <c r="J19" s="888"/>
      <c r="K19" s="888"/>
      <c r="L19" s="888"/>
      <c r="M19" s="888"/>
      <c r="N19" s="888"/>
      <c r="O19" s="888"/>
      <c r="P19" s="888"/>
      <c r="Q19" s="888"/>
      <c r="R19" s="888"/>
      <c r="S19" s="888"/>
      <c r="T19" s="888"/>
      <c r="U19" s="888"/>
      <c r="V19" s="888"/>
      <c r="W19" s="888"/>
      <c r="X19" s="623"/>
      <c r="Y19" s="440"/>
      <c r="Z19" s="888"/>
      <c r="AA19" s="887"/>
      <c r="AB19" s="396"/>
    </row>
    <row r="20" spans="1:28" s="677" customFormat="1" ht="12.75">
      <c r="A20" s="677" t="s">
        <v>907</v>
      </c>
      <c r="B20" s="889"/>
      <c r="C20" s="889"/>
      <c r="D20" s="889"/>
      <c r="E20" s="889"/>
      <c r="F20" s="889"/>
      <c r="G20" s="889"/>
      <c r="H20" s="889"/>
      <c r="I20" s="889"/>
      <c r="J20" s="889"/>
      <c r="K20" s="889"/>
      <c r="L20" s="889"/>
      <c r="M20" s="889"/>
      <c r="N20" s="889"/>
      <c r="O20" s="889"/>
      <c r="P20" s="889"/>
      <c r="Q20" s="889"/>
      <c r="R20" s="889"/>
      <c r="S20" s="889"/>
      <c r="T20" s="889"/>
      <c r="U20" s="889"/>
      <c r="V20" s="889"/>
      <c r="W20" s="889"/>
      <c r="X20" s="918">
        <f>SUM(X21:X28)</f>
        <v>48.716086010469</v>
      </c>
      <c r="Y20" s="1233">
        <f>SUM(Y21:Y28)</f>
        <v>18.504399999999997</v>
      </c>
      <c r="Z20" s="889"/>
      <c r="AA20" s="890"/>
      <c r="AB20" s="1242"/>
    </row>
    <row r="21" spans="1:28" s="33" customFormat="1" ht="12.75">
      <c r="A21" s="46" t="s">
        <v>597</v>
      </c>
      <c r="B21" s="888">
        <v>4.329678994571147</v>
      </c>
      <c r="C21" s="888"/>
      <c r="D21" s="888"/>
      <c r="E21" s="888"/>
      <c r="F21" s="888"/>
      <c r="G21" s="888"/>
      <c r="H21" s="888"/>
      <c r="I21" s="888"/>
      <c r="J21" s="888"/>
      <c r="K21" s="888"/>
      <c r="L21" s="888"/>
      <c r="M21" s="888"/>
      <c r="N21" s="888"/>
      <c r="O21" s="888"/>
      <c r="P21" s="888">
        <v>0.543091904887801</v>
      </c>
      <c r="Q21" s="888"/>
      <c r="R21" s="888">
        <v>1.978265381856803</v>
      </c>
      <c r="S21" s="888"/>
      <c r="T21" s="888">
        <v>0.08671848249235299</v>
      </c>
      <c r="U21" s="888"/>
      <c r="V21" s="888"/>
      <c r="W21" s="888"/>
      <c r="X21" s="623">
        <v>2.458425619416961</v>
      </c>
      <c r="Y21" s="440">
        <v>0.9102</v>
      </c>
      <c r="Z21" s="888" t="e">
        <f>Veg!#REF!/Veg!$B$10</f>
        <v>#REF!</v>
      </c>
      <c r="AA21" s="887"/>
      <c r="AB21" s="396"/>
    </row>
    <row r="22" spans="1:28" s="33" customFormat="1" ht="12.75">
      <c r="A22" s="46" t="s">
        <v>598</v>
      </c>
      <c r="B22" s="888">
        <v>7.84392173217338</v>
      </c>
      <c r="C22" s="888"/>
      <c r="D22" s="888"/>
      <c r="E22" s="888"/>
      <c r="F22" s="888"/>
      <c r="G22" s="888"/>
      <c r="H22" s="888"/>
      <c r="I22" s="888"/>
      <c r="J22" s="888"/>
      <c r="K22" s="888"/>
      <c r="L22" s="888"/>
      <c r="M22" s="888"/>
      <c r="N22" s="888"/>
      <c r="O22" s="888"/>
      <c r="P22" s="888">
        <v>49.392074768273176</v>
      </c>
      <c r="Q22" s="888"/>
      <c r="R22" s="888">
        <v>3.9696460454534757</v>
      </c>
      <c r="S22" s="888"/>
      <c r="T22" s="888">
        <v>0.17401188144453592</v>
      </c>
      <c r="U22" s="888"/>
      <c r="V22" s="888"/>
      <c r="W22" s="888"/>
      <c r="X22" s="623">
        <v>4.93314983301187</v>
      </c>
      <c r="Y22" s="440">
        <v>2.0213</v>
      </c>
      <c r="Z22" s="888" t="e">
        <f>Veg!#REF!/Veg!$B$10</f>
        <v>#REF!</v>
      </c>
      <c r="AA22" s="887"/>
      <c r="AB22" s="396"/>
    </row>
    <row r="23" spans="1:28" s="33" customFormat="1" ht="12.75">
      <c r="A23" s="46" t="s">
        <v>815</v>
      </c>
      <c r="B23" s="888">
        <v>0.8884229080084571</v>
      </c>
      <c r="C23" s="888"/>
      <c r="D23" s="888"/>
      <c r="E23" s="888"/>
      <c r="F23" s="888"/>
      <c r="G23" s="888"/>
      <c r="H23" s="888"/>
      <c r="I23" s="888"/>
      <c r="J23" s="888"/>
      <c r="K23" s="888"/>
      <c r="L23" s="888"/>
      <c r="M23" s="888"/>
      <c r="N23" s="888"/>
      <c r="O23" s="888"/>
      <c r="P23" s="888">
        <v>51.355000000000004</v>
      </c>
      <c r="Q23" s="888"/>
      <c r="R23" s="888">
        <v>0.43217332360071403</v>
      </c>
      <c r="S23" s="888"/>
      <c r="T23" s="888">
        <v>0.018944584048250477</v>
      </c>
      <c r="U23" s="888"/>
      <c r="V23" s="888"/>
      <c r="W23" s="888"/>
      <c r="X23" s="623">
        <v>0.5370694854758769</v>
      </c>
      <c r="Y23" s="440">
        <v>0.135</v>
      </c>
      <c r="Z23" s="888" t="e">
        <f>Veg!#REF!/Veg!$B$10</f>
        <v>#REF!</v>
      </c>
      <c r="AA23" s="887"/>
      <c r="AB23" s="887"/>
    </row>
    <row r="24" spans="1:28" s="33" customFormat="1" ht="12.75">
      <c r="A24" s="46" t="s">
        <v>814</v>
      </c>
      <c r="B24" s="888">
        <v>1.6113715001245812</v>
      </c>
      <c r="C24" s="888"/>
      <c r="D24" s="888"/>
      <c r="E24" s="888"/>
      <c r="F24" s="888"/>
      <c r="G24" s="888"/>
      <c r="H24" s="888"/>
      <c r="I24" s="888"/>
      <c r="J24" s="888"/>
      <c r="K24" s="888"/>
      <c r="L24" s="888"/>
      <c r="M24" s="888"/>
      <c r="N24" s="888"/>
      <c r="O24" s="888"/>
      <c r="P24" s="888">
        <v>65.91212200000001</v>
      </c>
      <c r="Q24" s="888"/>
      <c r="R24" s="888">
        <v>0.5492823510892371</v>
      </c>
      <c r="S24" s="888"/>
      <c r="T24" s="888">
        <v>0.02407813045870628</v>
      </c>
      <c r="U24" s="888"/>
      <c r="V24" s="888"/>
      <c r="W24" s="888"/>
      <c r="X24" s="623">
        <v>0.6826029594390937</v>
      </c>
      <c r="Y24" s="440">
        <v>0.2516</v>
      </c>
      <c r="Z24" s="888" t="e">
        <f>Veg!#REF!/Veg!$B$10</f>
        <v>#REF!</v>
      </c>
      <c r="AA24" s="887"/>
      <c r="AB24" s="887"/>
    </row>
    <row r="25" spans="1:28" s="33" customFormat="1" ht="12.75">
      <c r="A25" s="46" t="s">
        <v>599</v>
      </c>
      <c r="B25" s="888">
        <v>4.62877824505816</v>
      </c>
      <c r="C25" s="888"/>
      <c r="D25" s="888"/>
      <c r="E25" s="888"/>
      <c r="F25" s="888"/>
      <c r="G25" s="888"/>
      <c r="H25" s="888"/>
      <c r="I25" s="888"/>
      <c r="J25" s="888"/>
      <c r="K25" s="888"/>
      <c r="L25" s="888"/>
      <c r="M25" s="888"/>
      <c r="N25" s="888"/>
      <c r="O25" s="888"/>
      <c r="P25" s="888">
        <v>0.992011200243046</v>
      </c>
      <c r="Q25" s="888"/>
      <c r="R25" s="888">
        <v>0.03697838251911438</v>
      </c>
      <c r="S25" s="888"/>
      <c r="T25" s="888">
        <v>0.0016209701926187124</v>
      </c>
      <c r="U25" s="888"/>
      <c r="V25" s="888"/>
      <c r="W25" s="888"/>
      <c r="X25" s="623">
        <v>0.045953694475644194</v>
      </c>
      <c r="Y25" s="440">
        <v>0.013000000000000001</v>
      </c>
      <c r="Z25" s="888" t="e">
        <f>Veg!#REF!/Veg!$B$10</f>
        <v>#REF!</v>
      </c>
      <c r="AA25" s="887"/>
      <c r="AB25" s="887"/>
    </row>
    <row r="26" spans="1:28" s="33" customFormat="1" ht="12.75">
      <c r="A26" s="46" t="s">
        <v>600</v>
      </c>
      <c r="B26" s="888">
        <v>5.237726434417962</v>
      </c>
      <c r="C26" s="888"/>
      <c r="D26" s="888"/>
      <c r="E26" s="888"/>
      <c r="F26" s="888"/>
      <c r="G26" s="888"/>
      <c r="H26" s="888"/>
      <c r="I26" s="888"/>
      <c r="J26" s="888"/>
      <c r="K26" s="888"/>
      <c r="L26" s="888"/>
      <c r="M26" s="888"/>
      <c r="N26" s="888"/>
      <c r="O26" s="888"/>
      <c r="P26" s="888">
        <v>0.783734700542092</v>
      </c>
      <c r="Q26" s="888"/>
      <c r="R26" s="888">
        <v>1.132738475818003</v>
      </c>
      <c r="S26" s="888"/>
      <c r="T26" s="888">
        <v>0.04965428935092616</v>
      </c>
      <c r="U26" s="888"/>
      <c r="V26" s="888"/>
      <c r="W26" s="888"/>
      <c r="X26" s="623">
        <v>1.4076742759540812</v>
      </c>
      <c r="Y26" s="440">
        <v>1.269</v>
      </c>
      <c r="Z26" s="888" t="e">
        <f>Veg!#REF!/Veg!$B$10</f>
        <v>#REF!</v>
      </c>
      <c r="AA26" s="887"/>
      <c r="AB26" s="887"/>
    </row>
    <row r="27" spans="1:28" s="33" customFormat="1" ht="12.75">
      <c r="A27" s="46" t="s">
        <v>601</v>
      </c>
      <c r="B27" s="888">
        <v>19.588609364940528</v>
      </c>
      <c r="C27" s="888"/>
      <c r="D27" s="888"/>
      <c r="E27" s="888"/>
      <c r="F27" s="888"/>
      <c r="G27" s="888"/>
      <c r="H27" s="888"/>
      <c r="I27" s="888"/>
      <c r="J27" s="888"/>
      <c r="K27" s="888"/>
      <c r="L27" s="888"/>
      <c r="M27" s="888"/>
      <c r="N27" s="888"/>
      <c r="O27" s="888"/>
      <c r="P27" s="888">
        <v>38.01201130252544</v>
      </c>
      <c r="Q27" s="888"/>
      <c r="R27" s="888">
        <v>12.14258495913178</v>
      </c>
      <c r="S27" s="888"/>
      <c r="T27" s="888">
        <v>0.5322776968386533</v>
      </c>
      <c r="U27" s="888"/>
      <c r="V27" s="888"/>
      <c r="W27" s="888"/>
      <c r="X27" s="623">
        <v>15.089806566527404</v>
      </c>
      <c r="Y27" s="440">
        <v>2.7162</v>
      </c>
      <c r="Z27" s="888" t="e">
        <f>Veg!#REF!/Veg!$B$10</f>
        <v>#REF!</v>
      </c>
      <c r="AA27" s="887"/>
      <c r="AB27" s="887"/>
    </row>
    <row r="28" spans="1:28" s="33" customFormat="1" ht="12.75">
      <c r="A28" s="46" t="s">
        <v>813</v>
      </c>
      <c r="B28" s="888">
        <v>68.32575347296572</v>
      </c>
      <c r="C28" s="888"/>
      <c r="D28" s="888"/>
      <c r="E28" s="888"/>
      <c r="F28" s="888"/>
      <c r="G28" s="888"/>
      <c r="H28" s="888"/>
      <c r="I28" s="888"/>
      <c r="J28" s="888"/>
      <c r="K28" s="888"/>
      <c r="L28" s="888"/>
      <c r="M28" s="888"/>
      <c r="N28" s="888"/>
      <c r="O28" s="888"/>
      <c r="P28" s="888">
        <v>72.2512</v>
      </c>
      <c r="Q28" s="888"/>
      <c r="R28" s="888">
        <v>18.959576679706316</v>
      </c>
      <c r="S28" s="888"/>
      <c r="T28" s="888">
        <v>0.8311047311652084</v>
      </c>
      <c r="U28" s="888"/>
      <c r="V28" s="888"/>
      <c r="W28" s="888"/>
      <c r="X28" s="623">
        <v>23.561403576168072</v>
      </c>
      <c r="Y28" s="440">
        <v>11.188099999999999</v>
      </c>
      <c r="Z28" s="888" t="e">
        <f>Veg!#REF!/Veg!$B$10</f>
        <v>#REF!</v>
      </c>
      <c r="AA28" s="887"/>
      <c r="AB28" s="887"/>
    </row>
    <row r="29" spans="1:28" s="33" customFormat="1" ht="12.75">
      <c r="A29" s="46"/>
      <c r="B29" s="888"/>
      <c r="C29" s="888"/>
      <c r="D29" s="888"/>
      <c r="E29" s="888"/>
      <c r="F29" s="888"/>
      <c r="G29" s="888"/>
      <c r="H29" s="888"/>
      <c r="I29" s="888"/>
      <c r="J29" s="888"/>
      <c r="K29" s="888"/>
      <c r="L29" s="888"/>
      <c r="M29" s="888"/>
      <c r="N29" s="888"/>
      <c r="O29" s="888"/>
      <c r="P29" s="888"/>
      <c r="Q29" s="888"/>
      <c r="R29" s="888"/>
      <c r="S29" s="888"/>
      <c r="T29" s="888"/>
      <c r="U29" s="888"/>
      <c r="V29" s="888"/>
      <c r="W29" s="888"/>
      <c r="X29" s="623"/>
      <c r="Y29" s="440"/>
      <c r="Z29" s="888"/>
      <c r="AA29" s="887"/>
      <c r="AB29" s="887"/>
    </row>
    <row r="30" spans="1:28" s="33" customFormat="1" ht="12.75">
      <c r="A30" s="677" t="s">
        <v>908</v>
      </c>
      <c r="B30" s="889"/>
      <c r="C30" s="889"/>
      <c r="D30" s="889"/>
      <c r="E30" s="889"/>
      <c r="F30" s="889"/>
      <c r="G30" s="889"/>
      <c r="H30" s="889"/>
      <c r="I30" s="889"/>
      <c r="J30" s="889"/>
      <c r="K30" s="889"/>
      <c r="L30" s="889"/>
      <c r="M30" s="889"/>
      <c r="N30" s="889"/>
      <c r="O30" s="889"/>
      <c r="P30" s="889"/>
      <c r="Q30" s="889"/>
      <c r="R30" s="889"/>
      <c r="S30" s="889"/>
      <c r="T30" s="889"/>
      <c r="U30" s="889"/>
      <c r="V30" s="889"/>
      <c r="W30" s="889"/>
      <c r="X30" s="918">
        <f>SUM(X31:X39)</f>
        <v>72.88439697721162</v>
      </c>
      <c r="Y30" s="1233">
        <f>SUM(Y31:Y39)</f>
        <v>63.6874</v>
      </c>
      <c r="Z30" s="889"/>
      <c r="AA30" s="890"/>
      <c r="AB30" s="887"/>
    </row>
    <row r="31" spans="1:28" s="33" customFormat="1" ht="12.75">
      <c r="A31" s="46" t="s">
        <v>603</v>
      </c>
      <c r="B31" s="888">
        <v>9.023258037280348</v>
      </c>
      <c r="C31" s="888"/>
      <c r="D31" s="888"/>
      <c r="E31" s="888"/>
      <c r="F31" s="888"/>
      <c r="G31" s="888"/>
      <c r="H31" s="888"/>
      <c r="I31" s="888"/>
      <c r="J31" s="888"/>
      <c r="K31" s="888"/>
      <c r="L31" s="888"/>
      <c r="M31" s="888"/>
      <c r="N31" s="888"/>
      <c r="O31" s="888"/>
      <c r="P31" s="888">
        <v>96.34250479429215</v>
      </c>
      <c r="Q31" s="888"/>
      <c r="R31" s="888">
        <v>0.3300252301121757</v>
      </c>
      <c r="S31" s="888"/>
      <c r="T31" s="888">
        <v>0.014466859402177568</v>
      </c>
      <c r="U31" s="888"/>
      <c r="V31" s="888"/>
      <c r="W31" s="888"/>
      <c r="X31" s="623">
        <v>0.41012823062203285</v>
      </c>
      <c r="Y31" s="440">
        <v>0.3936</v>
      </c>
      <c r="Z31" s="888" t="e">
        <f>Veg!#REF!/Veg!$B$11</f>
        <v>#REF!</v>
      </c>
      <c r="AA31" s="887"/>
      <c r="AB31" s="887"/>
    </row>
    <row r="32" spans="1:28" s="33" customFormat="1" ht="12.75">
      <c r="A32" s="46" t="s">
        <v>817</v>
      </c>
      <c r="B32" s="888">
        <v>7.276598540121522</v>
      </c>
      <c r="C32" s="888"/>
      <c r="D32" s="888"/>
      <c r="E32" s="888"/>
      <c r="F32" s="888"/>
      <c r="G32" s="888"/>
      <c r="H32" s="888"/>
      <c r="I32" s="888"/>
      <c r="J32" s="888"/>
      <c r="K32" s="888"/>
      <c r="L32" s="888"/>
      <c r="M32" s="888"/>
      <c r="N32" s="888"/>
      <c r="O32" s="888"/>
      <c r="P32" s="888">
        <v>36.1834</v>
      </c>
      <c r="Q32" s="888"/>
      <c r="R32" s="888">
        <v>4.643677783955191</v>
      </c>
      <c r="S32" s="888"/>
      <c r="T32" s="888">
        <v>0.20355847820077547</v>
      </c>
      <c r="U32" s="888"/>
      <c r="V32" s="888"/>
      <c r="W32" s="888"/>
      <c r="X32" s="623">
        <v>5.7707810777528845</v>
      </c>
      <c r="Y32" s="440">
        <v>4.463</v>
      </c>
      <c r="Z32" s="888" t="e">
        <f>Veg!#REF!/Veg!$B$11</f>
        <v>#REF!</v>
      </c>
      <c r="AA32" s="887"/>
      <c r="AB32" s="887"/>
    </row>
    <row r="33" spans="1:28" s="33" customFormat="1" ht="12.75">
      <c r="A33" s="46" t="s">
        <v>818</v>
      </c>
      <c r="B33" s="888">
        <v>9.253216620558547</v>
      </c>
      <c r="C33" s="888"/>
      <c r="D33" s="888"/>
      <c r="E33" s="888"/>
      <c r="F33" s="888"/>
      <c r="G33" s="888"/>
      <c r="H33" s="888"/>
      <c r="I33" s="888"/>
      <c r="J33" s="888"/>
      <c r="K33" s="888"/>
      <c r="L33" s="888"/>
      <c r="M33" s="888"/>
      <c r="N33" s="888"/>
      <c r="O33" s="888"/>
      <c r="P33" s="888">
        <v>83.74055680000001</v>
      </c>
      <c r="Q33" s="888"/>
      <c r="R33" s="888">
        <v>1.5045215005926764</v>
      </c>
      <c r="S33" s="888"/>
      <c r="T33" s="888">
        <v>0.06595162742324061</v>
      </c>
      <c r="U33" s="888"/>
      <c r="V33" s="888"/>
      <c r="W33" s="888"/>
      <c r="X33" s="623">
        <v>1.8696956616351597</v>
      </c>
      <c r="Y33" s="440">
        <v>1.515</v>
      </c>
      <c r="Z33" s="888" t="e">
        <f>Veg!#REF!/Veg!$B$11</f>
        <v>#REF!</v>
      </c>
      <c r="AA33" s="887"/>
      <c r="AB33" s="887"/>
    </row>
    <row r="34" spans="1:28" s="33" customFormat="1" ht="12.75">
      <c r="A34" s="46" t="s">
        <v>604</v>
      </c>
      <c r="B34" s="888">
        <v>1.192489154613789</v>
      </c>
      <c r="C34" s="888"/>
      <c r="D34" s="888"/>
      <c r="E34" s="888"/>
      <c r="F34" s="888"/>
      <c r="G34" s="888"/>
      <c r="H34" s="888"/>
      <c r="I34" s="888"/>
      <c r="J34" s="888"/>
      <c r="K34" s="888"/>
      <c r="L34" s="888"/>
      <c r="M34" s="888"/>
      <c r="N34" s="888"/>
      <c r="O34" s="888"/>
      <c r="P34" s="888">
        <v>52.849599999999995</v>
      </c>
      <c r="Q34" s="888"/>
      <c r="R34" s="888">
        <v>0.5622634063570201</v>
      </c>
      <c r="S34" s="888"/>
      <c r="T34" s="888">
        <v>0.02464716301838992</v>
      </c>
      <c r="U34" s="888"/>
      <c r="V34" s="888"/>
      <c r="W34" s="888"/>
      <c r="X34" s="623">
        <v>0.6987347479898449</v>
      </c>
      <c r="Y34" s="440">
        <v>0.476</v>
      </c>
      <c r="Z34" s="888" t="e">
        <f>Veg!#REF!/Veg!$B$11</f>
        <v>#REF!</v>
      </c>
      <c r="AA34" s="887"/>
      <c r="AB34" s="887"/>
    </row>
    <row r="35" spans="1:28" s="33" customFormat="1" ht="12.75">
      <c r="A35" s="46" t="s">
        <v>819</v>
      </c>
      <c r="B35" s="888">
        <v>1.6955479409129872</v>
      </c>
      <c r="C35" s="888"/>
      <c r="D35" s="888"/>
      <c r="E35" s="888"/>
      <c r="F35" s="888"/>
      <c r="G35" s="888"/>
      <c r="H35" s="888"/>
      <c r="I35" s="888"/>
      <c r="J35" s="888"/>
      <c r="K35" s="888"/>
      <c r="L35" s="888"/>
      <c r="M35" s="888"/>
      <c r="N35" s="888"/>
      <c r="O35" s="888"/>
      <c r="P35" s="888">
        <v>34.458800800000006</v>
      </c>
      <c r="Q35" s="888"/>
      <c r="R35" s="888">
        <v>1.1112824534852794</v>
      </c>
      <c r="S35" s="888"/>
      <c r="T35" s="888">
        <v>0.048713751385656076</v>
      </c>
      <c r="U35" s="888"/>
      <c r="V35" s="888"/>
      <c r="W35" s="888"/>
      <c r="X35" s="623">
        <v>1.3810104949076574</v>
      </c>
      <c r="Y35" s="440">
        <v>0.8969999999999999</v>
      </c>
      <c r="Z35" s="888" t="e">
        <f>Veg!#REF!/Veg!$B$11</f>
        <v>#REF!</v>
      </c>
      <c r="AA35" s="887"/>
      <c r="AB35" s="887"/>
    </row>
    <row r="36" spans="1:28" s="33" customFormat="1" ht="12.75">
      <c r="A36" s="46" t="s">
        <v>608</v>
      </c>
      <c r="B36" s="888">
        <v>37.432191124455045</v>
      </c>
      <c r="C36" s="888"/>
      <c r="D36" s="888"/>
      <c r="E36" s="888"/>
      <c r="F36" s="888"/>
      <c r="G36" s="888"/>
      <c r="H36" s="888"/>
      <c r="I36" s="888"/>
      <c r="J36" s="888"/>
      <c r="K36" s="888"/>
      <c r="L36" s="888"/>
      <c r="M36" s="888"/>
      <c r="N36" s="888"/>
      <c r="O36" s="888"/>
      <c r="P36" s="888">
        <v>24.60094786546712</v>
      </c>
      <c r="Q36" s="888"/>
      <c r="R36" s="888">
        <v>28.22351730102585</v>
      </c>
      <c r="S36" s="888"/>
      <c r="T36" s="888">
        <v>1.2371952789490783</v>
      </c>
      <c r="U36" s="888"/>
      <c r="V36" s="888"/>
      <c r="W36" s="888"/>
      <c r="X36" s="623">
        <v>35.073867560566896</v>
      </c>
      <c r="Y36" s="440">
        <v>27.003899999999998</v>
      </c>
      <c r="Z36" s="888" t="e">
        <f>Veg!#REF!/Veg!$B$11</f>
        <v>#REF!</v>
      </c>
      <c r="AA36" s="887"/>
      <c r="AB36" s="887"/>
    </row>
    <row r="37" spans="1:28" s="33" customFormat="1" ht="12.75">
      <c r="A37" s="46" t="s">
        <v>820</v>
      </c>
      <c r="B37" s="888">
        <v>0.8301834809986582</v>
      </c>
      <c r="C37" s="888"/>
      <c r="D37" s="888"/>
      <c r="E37" s="888"/>
      <c r="F37" s="888"/>
      <c r="G37" s="888"/>
      <c r="H37" s="888"/>
      <c r="I37" s="888"/>
      <c r="J37" s="888"/>
      <c r="K37" s="888"/>
      <c r="L37" s="888"/>
      <c r="M37" s="888"/>
      <c r="N37" s="888"/>
      <c r="O37" s="888"/>
      <c r="P37" s="888">
        <v>51.947199999999995</v>
      </c>
      <c r="Q37" s="888"/>
      <c r="R37" s="888">
        <v>0.3989264077573232</v>
      </c>
      <c r="S37" s="888"/>
      <c r="T37" s="888">
        <v>0.01748718499758129</v>
      </c>
      <c r="U37" s="888"/>
      <c r="V37" s="888"/>
      <c r="W37" s="888"/>
      <c r="X37" s="623">
        <v>0.4957529510889308</v>
      </c>
      <c r="Y37" s="440">
        <v>0.3</v>
      </c>
      <c r="Z37" s="888" t="e">
        <f>Veg!#REF!/Veg!$B$11</f>
        <v>#REF!</v>
      </c>
      <c r="AA37" s="887"/>
      <c r="AB37" s="887"/>
    </row>
    <row r="38" spans="1:28" s="33" customFormat="1" ht="12.75">
      <c r="A38" s="46" t="s">
        <v>821</v>
      </c>
      <c r="B38" s="888">
        <v>51.51199750683971</v>
      </c>
      <c r="C38" s="888"/>
      <c r="D38" s="888"/>
      <c r="E38" s="888"/>
      <c r="F38" s="888"/>
      <c r="G38" s="888"/>
      <c r="H38" s="888"/>
      <c r="I38" s="888"/>
      <c r="J38" s="888"/>
      <c r="K38" s="888"/>
      <c r="L38" s="888"/>
      <c r="M38" s="888"/>
      <c r="N38" s="888"/>
      <c r="O38" s="888"/>
      <c r="P38" s="888">
        <v>60.52</v>
      </c>
      <c r="Q38" s="888"/>
      <c r="R38" s="888">
        <v>20.336936615700317</v>
      </c>
      <c r="S38" s="888"/>
      <c r="T38" s="888">
        <v>0.8914821530170002</v>
      </c>
      <c r="U38" s="888"/>
      <c r="V38" s="888"/>
      <c r="W38" s="888"/>
      <c r="X38" s="623">
        <v>25.27307329695544</v>
      </c>
      <c r="Y38" s="440">
        <v>26.786199999999997</v>
      </c>
      <c r="Z38" s="888" t="e">
        <f>Veg!#REF!/Veg!$B$11</f>
        <v>#REF!</v>
      </c>
      <c r="AA38" s="887"/>
      <c r="AB38" s="887"/>
    </row>
    <row r="39" spans="1:28" s="33" customFormat="1" ht="12.75">
      <c r="A39" s="46" t="s">
        <v>822</v>
      </c>
      <c r="B39" s="888">
        <v>12.17422287886605</v>
      </c>
      <c r="C39" s="888"/>
      <c r="D39" s="888"/>
      <c r="E39" s="888"/>
      <c r="F39" s="888"/>
      <c r="G39" s="888"/>
      <c r="H39" s="888"/>
      <c r="I39" s="888"/>
      <c r="J39" s="888"/>
      <c r="K39" s="888"/>
      <c r="L39" s="888"/>
      <c r="M39" s="888"/>
      <c r="N39" s="888"/>
      <c r="O39" s="888"/>
      <c r="P39" s="888">
        <v>87.3664</v>
      </c>
      <c r="Q39" s="888"/>
      <c r="R39" s="888">
        <v>1.5380426216244218</v>
      </c>
      <c r="S39" s="888"/>
      <c r="T39" s="888">
        <v>0.06742104642737193</v>
      </c>
      <c r="U39" s="888"/>
      <c r="V39" s="888"/>
      <c r="W39" s="888"/>
      <c r="X39" s="623">
        <v>1.9113529556927797</v>
      </c>
      <c r="Y39" s="440">
        <v>1.8526999999999998</v>
      </c>
      <c r="Z39" s="888" t="e">
        <f>Veg!#REF!/Veg!$B$11</f>
        <v>#REF!</v>
      </c>
      <c r="AA39" s="887"/>
      <c r="AB39" s="887"/>
    </row>
    <row r="40" spans="1:28" s="33" customFormat="1" ht="12.75">
      <c r="A40" s="46"/>
      <c r="B40" s="888"/>
      <c r="C40" s="888"/>
      <c r="D40" s="888"/>
      <c r="E40" s="888"/>
      <c r="F40" s="888"/>
      <c r="G40" s="888"/>
      <c r="H40" s="888"/>
      <c r="I40" s="888"/>
      <c r="J40" s="888"/>
      <c r="K40" s="888"/>
      <c r="L40" s="888"/>
      <c r="M40" s="888"/>
      <c r="N40" s="888"/>
      <c r="O40" s="888"/>
      <c r="P40" s="888"/>
      <c r="Q40" s="888"/>
      <c r="R40" s="888"/>
      <c r="S40" s="888"/>
      <c r="T40" s="888"/>
      <c r="U40" s="888"/>
      <c r="V40" s="888"/>
      <c r="W40" s="888"/>
      <c r="X40" s="623"/>
      <c r="Y40" s="440"/>
      <c r="Z40" s="888"/>
      <c r="AA40" s="887"/>
      <c r="AB40" s="887"/>
    </row>
    <row r="41" spans="1:27" s="33" customFormat="1" ht="12.75">
      <c r="A41" s="677" t="s">
        <v>909</v>
      </c>
      <c r="B41" s="888"/>
      <c r="C41" s="888"/>
      <c r="D41" s="888"/>
      <c r="E41" s="888"/>
      <c r="F41" s="888"/>
      <c r="G41" s="888"/>
      <c r="H41" s="888"/>
      <c r="I41" s="888"/>
      <c r="J41" s="888"/>
      <c r="K41" s="888"/>
      <c r="L41" s="888"/>
      <c r="M41" s="888"/>
      <c r="N41" s="888"/>
      <c r="O41" s="888"/>
      <c r="P41" s="888"/>
      <c r="Q41" s="888"/>
      <c r="R41" s="888"/>
      <c r="S41" s="888"/>
      <c r="T41" s="888"/>
      <c r="U41" s="888"/>
      <c r="V41" s="888"/>
      <c r="W41" s="888"/>
      <c r="X41" s="918">
        <f>SUM(X42:X68)</f>
        <v>61.46523268944332</v>
      </c>
      <c r="Y41" s="1233">
        <f>SUM(Y42:Y68)</f>
        <v>26.7678</v>
      </c>
      <c r="Z41" s="888"/>
      <c r="AA41" s="890"/>
    </row>
    <row r="42" spans="1:28" s="33" customFormat="1" ht="12.75">
      <c r="A42" s="46" t="s">
        <v>613</v>
      </c>
      <c r="B42" s="888">
        <v>1.2279863001411768</v>
      </c>
      <c r="C42" s="888"/>
      <c r="D42" s="888"/>
      <c r="E42" s="888"/>
      <c r="F42" s="888"/>
      <c r="G42" s="888"/>
      <c r="H42" s="888"/>
      <c r="I42" s="888"/>
      <c r="J42" s="888"/>
      <c r="K42" s="888"/>
      <c r="L42" s="888"/>
      <c r="M42" s="888"/>
      <c r="N42" s="888"/>
      <c r="O42" s="888"/>
      <c r="P42" s="888">
        <v>71.14740205763317</v>
      </c>
      <c r="Q42" s="888"/>
      <c r="R42" s="888">
        <v>0.3543059499670797</v>
      </c>
      <c r="S42" s="888"/>
      <c r="T42" s="888">
        <v>0.015531219724584317</v>
      </c>
      <c r="U42" s="888"/>
      <c r="V42" s="888"/>
      <c r="W42" s="888"/>
      <c r="X42" s="623">
        <v>0.4403023135821031</v>
      </c>
      <c r="Y42" s="440">
        <v>0.088</v>
      </c>
      <c r="Z42" s="888" t="e">
        <f>Veg!#REF!/Veg!$B$12</f>
        <v>#REF!</v>
      </c>
      <c r="AA42" s="887"/>
      <c r="AB42" s="878"/>
    </row>
    <row r="43" spans="1:28" s="33" customFormat="1" ht="12.75">
      <c r="A43" s="46" t="s">
        <v>823</v>
      </c>
      <c r="B43" s="888">
        <v>0.15904785123630344</v>
      </c>
      <c r="C43" s="888"/>
      <c r="D43" s="888"/>
      <c r="E43" s="888"/>
      <c r="F43" s="888"/>
      <c r="G43" s="888"/>
      <c r="H43" s="888"/>
      <c r="I43" s="888"/>
      <c r="J43" s="888"/>
      <c r="K43" s="888"/>
      <c r="L43" s="888"/>
      <c r="M43" s="888"/>
      <c r="N43" s="888"/>
      <c r="O43" s="888"/>
      <c r="P43" s="888">
        <v>24.461599999999994</v>
      </c>
      <c r="Q43" s="888"/>
      <c r="R43" s="888">
        <v>0.12014220205828385</v>
      </c>
      <c r="S43" s="888"/>
      <c r="T43" s="888">
        <v>0.005266507487486416</v>
      </c>
      <c r="U43" s="888"/>
      <c r="V43" s="888"/>
      <c r="W43" s="888"/>
      <c r="X43" s="623">
        <v>0.14930285401649615</v>
      </c>
      <c r="Y43" s="440">
        <v>0.023</v>
      </c>
      <c r="Z43" s="888" t="e">
        <f>Veg!#REF!/Veg!$B$12</f>
        <v>#REF!</v>
      </c>
      <c r="AA43" s="887"/>
      <c r="AB43" s="878"/>
    </row>
    <row r="44" spans="1:28" s="33" customFormat="1" ht="12.75">
      <c r="A44" s="46" t="s">
        <v>824</v>
      </c>
      <c r="B44" s="888">
        <v>0.09111647063358108</v>
      </c>
      <c r="C44" s="888"/>
      <c r="D44" s="888"/>
      <c r="E44" s="888"/>
      <c r="F44" s="888"/>
      <c r="G44" s="888"/>
      <c r="H44" s="888"/>
      <c r="I44" s="888"/>
      <c r="J44" s="888"/>
      <c r="K44" s="888"/>
      <c r="L44" s="888"/>
      <c r="M44" s="888"/>
      <c r="N44" s="888"/>
      <c r="O44" s="888"/>
      <c r="P44" s="888">
        <v>63.771065199999995</v>
      </c>
      <c r="Q44" s="888"/>
      <c r="R44" s="888">
        <v>0.03301052673790124</v>
      </c>
      <c r="S44" s="888"/>
      <c r="T44" s="888">
        <v>0.001447036788510739</v>
      </c>
      <c r="U44" s="888"/>
      <c r="V44" s="888"/>
      <c r="W44" s="888"/>
      <c r="X44" s="623">
        <v>0.04102276943588519</v>
      </c>
      <c r="Y44" s="440">
        <v>0.007</v>
      </c>
      <c r="Z44" s="888" t="e">
        <f>Veg!#REF!/Veg!$B$12</f>
        <v>#REF!</v>
      </c>
      <c r="AA44" s="887"/>
      <c r="AB44" s="878"/>
    </row>
    <row r="45" spans="1:28" s="33" customFormat="1" ht="12.75">
      <c r="A45" s="46" t="s">
        <v>616</v>
      </c>
      <c r="B45" s="888">
        <v>0.2974123047740745</v>
      </c>
      <c r="C45" s="888"/>
      <c r="D45" s="888"/>
      <c r="E45" s="888"/>
      <c r="F45" s="888"/>
      <c r="G45" s="888"/>
      <c r="H45" s="888"/>
      <c r="I45" s="888"/>
      <c r="J45" s="888"/>
      <c r="K45" s="888"/>
      <c r="L45" s="888"/>
      <c r="M45" s="888"/>
      <c r="N45" s="888"/>
      <c r="O45" s="888"/>
      <c r="P45" s="888">
        <v>0.416996765460495</v>
      </c>
      <c r="Q45" s="888"/>
      <c r="R45" s="888">
        <v>0.17339233567513443</v>
      </c>
      <c r="S45" s="888"/>
      <c r="T45" s="888">
        <v>0.007600759920005892</v>
      </c>
      <c r="U45" s="888"/>
      <c r="V45" s="888"/>
      <c r="W45" s="888"/>
      <c r="X45" s="623">
        <v>0.21547774335220704</v>
      </c>
      <c r="Y45" s="440">
        <v>0.09</v>
      </c>
      <c r="Z45" s="888" t="e">
        <f>Veg!#REF!/Veg!$B$12</f>
        <v>#REF!</v>
      </c>
      <c r="AA45" s="887"/>
      <c r="AB45" s="878"/>
    </row>
    <row r="46" spans="1:28" s="33" customFormat="1" ht="15">
      <c r="A46" s="46" t="s">
        <v>617</v>
      </c>
      <c r="B46" s="888">
        <v>7.693222963423468</v>
      </c>
      <c r="C46" s="888"/>
      <c r="D46" s="888"/>
      <c r="E46" s="888"/>
      <c r="F46" s="888"/>
      <c r="G46" s="888"/>
      <c r="H46" s="888"/>
      <c r="I46" s="888"/>
      <c r="J46" s="888"/>
      <c r="K46" s="888"/>
      <c r="L46" s="888"/>
      <c r="M46" s="888"/>
      <c r="N46" s="888"/>
      <c r="O46" s="888"/>
      <c r="P46" s="888">
        <v>55.25055578797996</v>
      </c>
      <c r="Q46" s="888"/>
      <c r="R46" s="888">
        <v>3.442674518123499</v>
      </c>
      <c r="S46" s="888"/>
      <c r="T46" s="888">
        <v>0.15091175969856435</v>
      </c>
      <c r="U46" s="888"/>
      <c r="V46" s="888"/>
      <c r="W46" s="888"/>
      <c r="X46" s="623">
        <v>4.278272931574451</v>
      </c>
      <c r="Y46" s="1243">
        <v>1.2</v>
      </c>
      <c r="Z46" s="888" t="e">
        <f>Veg!#REF!/Veg!$B$12</f>
        <v>#REF!</v>
      </c>
      <c r="AA46" s="887"/>
      <c r="AB46" s="878"/>
    </row>
    <row r="47" spans="1:28" s="33" customFormat="1" ht="15">
      <c r="A47" s="46" t="s">
        <v>825</v>
      </c>
      <c r="B47" s="888">
        <v>0.9618712608664781</v>
      </c>
      <c r="C47" s="888"/>
      <c r="D47" s="888"/>
      <c r="E47" s="888"/>
      <c r="F47" s="888"/>
      <c r="G47" s="888"/>
      <c r="H47" s="888"/>
      <c r="I47" s="888"/>
      <c r="J47" s="888"/>
      <c r="K47" s="888"/>
      <c r="L47" s="888"/>
      <c r="M47" s="888"/>
      <c r="N47" s="888"/>
      <c r="O47" s="888"/>
      <c r="P47" s="888">
        <v>65.2576</v>
      </c>
      <c r="Q47" s="888"/>
      <c r="R47" s="888">
        <v>0.3341771609352752</v>
      </c>
      <c r="S47" s="888"/>
      <c r="T47" s="888">
        <v>0.014648861849217543</v>
      </c>
      <c r="U47" s="888"/>
      <c r="V47" s="888"/>
      <c r="W47" s="888"/>
      <c r="X47" s="623">
        <v>0.41528790899439283</v>
      </c>
      <c r="Y47" s="1243">
        <v>0.11</v>
      </c>
      <c r="Z47" s="888" t="e">
        <f>Veg!#REF!/Veg!$B$12</f>
        <v>#REF!</v>
      </c>
      <c r="AA47" s="887"/>
      <c r="AB47" s="878"/>
    </row>
    <row r="48" spans="1:28" s="33" customFormat="1" ht="12.75">
      <c r="A48" s="46" t="s">
        <v>619</v>
      </c>
      <c r="B48" s="888">
        <v>1.6043588923756325</v>
      </c>
      <c r="C48" s="888"/>
      <c r="D48" s="888"/>
      <c r="E48" s="888"/>
      <c r="F48" s="888"/>
      <c r="G48" s="888"/>
      <c r="H48" s="888"/>
      <c r="I48" s="888"/>
      <c r="J48" s="888"/>
      <c r="K48" s="888"/>
      <c r="L48" s="888"/>
      <c r="M48" s="888"/>
      <c r="N48" s="888"/>
      <c r="O48" s="888"/>
      <c r="P48" s="888">
        <v>76.26609487399328</v>
      </c>
      <c r="Q48" s="888"/>
      <c r="R48" s="888">
        <v>0.3807770173970848</v>
      </c>
      <c r="S48" s="888"/>
      <c r="T48" s="888">
        <v>0.01669159528315988</v>
      </c>
      <c r="U48" s="888"/>
      <c r="V48" s="888"/>
      <c r="W48" s="888"/>
      <c r="X48" s="623">
        <v>0.473198380479941</v>
      </c>
      <c r="Y48" s="440">
        <v>0.12</v>
      </c>
      <c r="Z48" s="888" t="e">
        <f>Veg!#REF!/Veg!$B$12</f>
        <v>#REF!</v>
      </c>
      <c r="AA48" s="887"/>
      <c r="AB48" s="878"/>
    </row>
    <row r="49" spans="1:28" s="33" customFormat="1" ht="12.75">
      <c r="A49" s="46" t="s">
        <v>826</v>
      </c>
      <c r="B49" s="888">
        <v>0.3782968867511685</v>
      </c>
      <c r="C49" s="888"/>
      <c r="D49" s="888"/>
      <c r="E49" s="888"/>
      <c r="F49" s="888"/>
      <c r="G49" s="888"/>
      <c r="H49" s="888"/>
      <c r="I49" s="888"/>
      <c r="J49" s="888"/>
      <c r="K49" s="888"/>
      <c r="L49" s="888"/>
      <c r="M49" s="888"/>
      <c r="N49" s="888"/>
      <c r="O49" s="888"/>
      <c r="P49" s="888">
        <v>52.0119754</v>
      </c>
      <c r="Q49" s="888"/>
      <c r="R49" s="888">
        <v>0.1815372030751849</v>
      </c>
      <c r="S49" s="888"/>
      <c r="T49" s="888">
        <v>0.007957795203295776</v>
      </c>
      <c r="U49" s="888"/>
      <c r="V49" s="888"/>
      <c r="W49" s="888"/>
      <c r="X49" s="623">
        <v>0.2255995151158336</v>
      </c>
      <c r="Y49" s="440">
        <v>0.04</v>
      </c>
      <c r="Z49" s="888" t="e">
        <f>Veg!#REF!/Veg!$B$12</f>
        <v>#REF!</v>
      </c>
      <c r="AA49" s="887"/>
      <c r="AB49" s="878"/>
    </row>
    <row r="50" spans="1:28" s="33" customFormat="1" ht="15">
      <c r="A50" s="46" t="s">
        <v>621</v>
      </c>
      <c r="B50" s="888">
        <v>6.203137260297697</v>
      </c>
      <c r="C50" s="888"/>
      <c r="D50" s="888"/>
      <c r="E50" s="888"/>
      <c r="F50" s="888"/>
      <c r="G50" s="888"/>
      <c r="H50" s="888"/>
      <c r="I50" s="888"/>
      <c r="J50" s="888"/>
      <c r="K50" s="888"/>
      <c r="L50" s="888"/>
      <c r="M50" s="888"/>
      <c r="N50" s="888"/>
      <c r="O50" s="888"/>
      <c r="P50" s="888">
        <v>0.558729060552634</v>
      </c>
      <c r="Q50" s="888"/>
      <c r="R50" s="888">
        <v>2.737264206372527</v>
      </c>
      <c r="S50" s="888"/>
      <c r="T50" s="888">
        <v>0.1199896638409875</v>
      </c>
      <c r="U50" s="888"/>
      <c r="V50" s="888"/>
      <c r="W50" s="888"/>
      <c r="X50" s="623">
        <v>3.401646975060075</v>
      </c>
      <c r="Y50" s="1243">
        <v>0.54</v>
      </c>
      <c r="Z50" s="888" t="e">
        <f>Veg!#REF!/Veg!$B$12</f>
        <v>#REF!</v>
      </c>
      <c r="AA50" s="887"/>
      <c r="AB50" s="878"/>
    </row>
    <row r="51" spans="1:28" s="33" customFormat="1" ht="15">
      <c r="A51" s="46" t="s">
        <v>688</v>
      </c>
      <c r="B51" s="888">
        <v>6.30675018191257</v>
      </c>
      <c r="C51" s="888"/>
      <c r="D51" s="888"/>
      <c r="E51" s="888"/>
      <c r="F51" s="888"/>
      <c r="G51" s="888"/>
      <c r="H51" s="888"/>
      <c r="I51" s="888"/>
      <c r="J51" s="888"/>
      <c r="K51" s="888"/>
      <c r="L51" s="888"/>
      <c r="M51" s="888"/>
      <c r="N51" s="888"/>
      <c r="O51" s="888"/>
      <c r="P51" s="888">
        <v>0.341248</v>
      </c>
      <c r="Q51" s="888"/>
      <c r="R51" s="888">
        <v>4.154584295835269</v>
      </c>
      <c r="S51" s="888"/>
      <c r="T51" s="888">
        <v>0.1821187636530529</v>
      </c>
      <c r="U51" s="888"/>
      <c r="V51" s="888"/>
      <c r="W51" s="888"/>
      <c r="X51" s="623">
        <v>5.162975890182223</v>
      </c>
      <c r="Y51" s="1243">
        <v>1.08</v>
      </c>
      <c r="Z51" s="888" t="e">
        <f>Veg!#REF!/Veg!$B$12</f>
        <v>#REF!</v>
      </c>
      <c r="AA51" s="887"/>
      <c r="AB51" s="879"/>
    </row>
    <row r="52" spans="1:28" s="33" customFormat="1" ht="15">
      <c r="A52" s="46" t="s">
        <v>622</v>
      </c>
      <c r="B52" s="888">
        <v>6.505660734902352</v>
      </c>
      <c r="C52" s="888"/>
      <c r="D52" s="888"/>
      <c r="E52" s="888"/>
      <c r="F52" s="888"/>
      <c r="G52" s="888"/>
      <c r="H52" s="888"/>
      <c r="I52" s="888"/>
      <c r="J52" s="888"/>
      <c r="K52" s="888"/>
      <c r="L52" s="888"/>
      <c r="M52" s="888"/>
      <c r="N52" s="888"/>
      <c r="O52" s="888"/>
      <c r="P52" s="888">
        <v>64.59228118023466</v>
      </c>
      <c r="Q52" s="888"/>
      <c r="R52" s="888">
        <v>2.303506060382103</v>
      </c>
      <c r="S52" s="888"/>
      <c r="T52" s="888">
        <v>0.10097560812633877</v>
      </c>
      <c r="U52" s="888"/>
      <c r="V52" s="888"/>
      <c r="W52" s="888"/>
      <c r="X52" s="623">
        <v>2.8626080025776406</v>
      </c>
      <c r="Y52" s="1243">
        <v>0.43</v>
      </c>
      <c r="Z52" s="888" t="e">
        <f>Veg!#REF!/Veg!$B$12</f>
        <v>#REF!</v>
      </c>
      <c r="AA52" s="887"/>
      <c r="AB52" s="879"/>
    </row>
    <row r="53" spans="1:28" s="33" customFormat="1" ht="15">
      <c r="A53" s="46" t="s">
        <v>827</v>
      </c>
      <c r="B53" s="888">
        <v>3.809112888948147</v>
      </c>
      <c r="C53" s="888"/>
      <c r="D53" s="888"/>
      <c r="E53" s="888"/>
      <c r="F53" s="888"/>
      <c r="G53" s="888"/>
      <c r="H53" s="888"/>
      <c r="I53" s="888"/>
      <c r="J53" s="888"/>
      <c r="K53" s="888"/>
      <c r="L53" s="888"/>
      <c r="M53" s="888"/>
      <c r="N53" s="888"/>
      <c r="O53" s="888"/>
      <c r="P53" s="888">
        <v>63.528</v>
      </c>
      <c r="Q53" s="888"/>
      <c r="R53" s="888">
        <v>1.3892596528571681</v>
      </c>
      <c r="S53" s="888"/>
      <c r="T53" s="888">
        <v>0.06089905327593066</v>
      </c>
      <c r="U53" s="888"/>
      <c r="V53" s="888"/>
      <c r="W53" s="888"/>
      <c r="X53" s="623">
        <v>1.7264577108459964</v>
      </c>
      <c r="Y53" s="1243">
        <v>1.57</v>
      </c>
      <c r="Z53" s="888" t="e">
        <f>Veg!#REF!/Veg!$B$12</f>
        <v>#REF!</v>
      </c>
      <c r="AA53" s="887"/>
      <c r="AB53" s="879"/>
    </row>
    <row r="54" spans="1:28" s="33" customFormat="1" ht="15">
      <c r="A54" s="46" t="s">
        <v>624</v>
      </c>
      <c r="B54" s="888">
        <v>0.8468956854203021</v>
      </c>
      <c r="C54" s="888"/>
      <c r="D54" s="888"/>
      <c r="E54" s="888"/>
      <c r="F54" s="888"/>
      <c r="G54" s="888"/>
      <c r="H54" s="888"/>
      <c r="I54" s="888"/>
      <c r="J54" s="888"/>
      <c r="K54" s="888"/>
      <c r="L54" s="888"/>
      <c r="M54" s="888"/>
      <c r="N54" s="888"/>
      <c r="O54" s="888"/>
      <c r="P54" s="888">
        <v>0.610571720481396</v>
      </c>
      <c r="Q54" s="888"/>
      <c r="R54" s="888">
        <v>0.32980512970495696</v>
      </c>
      <c r="S54" s="888"/>
      <c r="T54" s="888">
        <v>0.014457211165148798</v>
      </c>
      <c r="U54" s="888"/>
      <c r="V54" s="888"/>
      <c r="W54" s="888"/>
      <c r="X54" s="623">
        <v>0.40985470792638584</v>
      </c>
      <c r="Y54" s="1243">
        <v>0.1</v>
      </c>
      <c r="Z54" s="888" t="e">
        <f>Veg!#REF!/Veg!$B$12</f>
        <v>#REF!</v>
      </c>
      <c r="AA54" s="887"/>
      <c r="AB54" s="879"/>
    </row>
    <row r="55" spans="1:28" s="33" customFormat="1" ht="12.75">
      <c r="A55" s="46" t="s">
        <v>625</v>
      </c>
      <c r="B55" s="888">
        <v>1.9766520625907127</v>
      </c>
      <c r="C55" s="888"/>
      <c r="D55" s="888"/>
      <c r="E55" s="888"/>
      <c r="F55" s="888"/>
      <c r="G55" s="888"/>
      <c r="H55" s="888"/>
      <c r="I55" s="888"/>
      <c r="J55" s="888"/>
      <c r="K55" s="888"/>
      <c r="L55" s="888"/>
      <c r="M55" s="888"/>
      <c r="N55" s="888"/>
      <c r="O55" s="888"/>
      <c r="P55" s="888">
        <v>51.00709476676812</v>
      </c>
      <c r="Q55" s="888"/>
      <c r="R55" s="888">
        <v>0.9684192718157911</v>
      </c>
      <c r="S55" s="888"/>
      <c r="T55" s="888">
        <v>0.042451255750829205</v>
      </c>
      <c r="U55" s="888"/>
      <c r="V55" s="888"/>
      <c r="W55" s="888"/>
      <c r="X55" s="623">
        <v>1.2034718749081326</v>
      </c>
      <c r="Y55" s="440">
        <v>0.37199999999999994</v>
      </c>
      <c r="Z55" s="888" t="e">
        <f>Veg!#REF!/Veg!$B$12</f>
        <v>#REF!</v>
      </c>
      <c r="AA55" s="887"/>
      <c r="AB55" s="878"/>
    </row>
    <row r="56" spans="1:28" s="33" customFormat="1" ht="15">
      <c r="A56" s="46" t="s">
        <v>828</v>
      </c>
      <c r="B56" s="888">
        <v>3.614316320759049</v>
      </c>
      <c r="C56" s="888"/>
      <c r="D56" s="888"/>
      <c r="E56" s="888"/>
      <c r="F56" s="888"/>
      <c r="G56" s="888"/>
      <c r="H56" s="888"/>
      <c r="I56" s="888"/>
      <c r="J56" s="888"/>
      <c r="K56" s="888"/>
      <c r="L56" s="888"/>
      <c r="M56" s="888"/>
      <c r="N56" s="888"/>
      <c r="O56" s="888"/>
      <c r="P56" s="888">
        <v>57.13599999999999</v>
      </c>
      <c r="Q56" s="888"/>
      <c r="R56" s="888">
        <v>1.549240547730159</v>
      </c>
      <c r="S56" s="888"/>
      <c r="T56" s="888">
        <v>0.06791191442104806</v>
      </c>
      <c r="U56" s="888"/>
      <c r="V56" s="888"/>
      <c r="W56" s="888"/>
      <c r="X56" s="623">
        <v>1.9252688178795019</v>
      </c>
      <c r="Y56" s="1243">
        <v>0.48</v>
      </c>
      <c r="Z56" s="888" t="e">
        <f>Veg!#REF!/Veg!$B$12</f>
        <v>#REF!</v>
      </c>
      <c r="AA56" s="887"/>
      <c r="AB56" s="881"/>
    </row>
    <row r="57" spans="1:28" s="33" customFormat="1" ht="15">
      <c r="A57" s="46" t="s">
        <v>829</v>
      </c>
      <c r="B57" s="888">
        <v>1.9954674794784129</v>
      </c>
      <c r="C57" s="888"/>
      <c r="D57" s="888"/>
      <c r="E57" s="888"/>
      <c r="F57" s="888"/>
      <c r="G57" s="888"/>
      <c r="H57" s="888"/>
      <c r="I57" s="888"/>
      <c r="J57" s="888"/>
      <c r="K57" s="888"/>
      <c r="L57" s="888"/>
      <c r="M57" s="888"/>
      <c r="N57" s="888"/>
      <c r="O57" s="888"/>
      <c r="P57" s="888">
        <v>39.4574576</v>
      </c>
      <c r="Q57" s="888"/>
      <c r="R57" s="888">
        <v>1.2081067448414293</v>
      </c>
      <c r="S57" s="888"/>
      <c r="T57" s="888">
        <v>0.052958103883459916</v>
      </c>
      <c r="U57" s="888"/>
      <c r="V57" s="888"/>
      <c r="W57" s="888"/>
      <c r="X57" s="623">
        <v>1.5013357660441469</v>
      </c>
      <c r="Y57" s="1243">
        <v>0.51</v>
      </c>
      <c r="Z57" s="888" t="e">
        <f>Veg!#REF!/Veg!$B$12</f>
        <v>#REF!</v>
      </c>
      <c r="AA57" s="887"/>
      <c r="AB57" s="878"/>
    </row>
    <row r="58" spans="1:28" s="33" customFormat="1" ht="15">
      <c r="A58" s="46" t="s">
        <v>627</v>
      </c>
      <c r="B58" s="888">
        <v>17.50344752819374</v>
      </c>
      <c r="C58" s="888"/>
      <c r="D58" s="888"/>
      <c r="E58" s="888"/>
      <c r="F58" s="888"/>
      <c r="G58" s="888"/>
      <c r="H58" s="888"/>
      <c r="I58" s="888"/>
      <c r="J58" s="888"/>
      <c r="K58" s="888"/>
      <c r="L58" s="888"/>
      <c r="M58" s="888"/>
      <c r="N58" s="888"/>
      <c r="O58" s="888"/>
      <c r="P58" s="888">
        <v>0.49069221913004496</v>
      </c>
      <c r="Q58" s="888"/>
      <c r="R58" s="888">
        <v>8.914642018158048</v>
      </c>
      <c r="S58" s="888"/>
      <c r="T58" s="888">
        <v>0.3907788281932295</v>
      </c>
      <c r="U58" s="888"/>
      <c r="V58" s="888"/>
      <c r="W58" s="888"/>
      <c r="X58" s="623">
        <v>11.07838438986396</v>
      </c>
      <c r="Y58" s="1243">
        <v>1.55</v>
      </c>
      <c r="Z58" s="888" t="e">
        <f>Veg!#REF!/Veg!$B$12</f>
        <v>#REF!</v>
      </c>
      <c r="AA58" s="887"/>
      <c r="AB58" s="878"/>
    </row>
    <row r="59" spans="1:28" s="33" customFormat="1" ht="15">
      <c r="A59" s="46" t="s">
        <v>244</v>
      </c>
      <c r="B59" s="888">
        <v>2.592862188559457</v>
      </c>
      <c r="C59" s="888"/>
      <c r="D59" s="888"/>
      <c r="E59" s="888"/>
      <c r="F59" s="888"/>
      <c r="G59" s="888"/>
      <c r="H59" s="888"/>
      <c r="I59" s="888"/>
      <c r="J59" s="888"/>
      <c r="K59" s="888"/>
      <c r="L59" s="888"/>
      <c r="M59" s="888"/>
      <c r="N59" s="888"/>
      <c r="O59" s="888"/>
      <c r="P59" s="888">
        <v>0.670054090855928</v>
      </c>
      <c r="Q59" s="888"/>
      <c r="R59" s="888">
        <v>0.8555042720895372</v>
      </c>
      <c r="S59" s="888"/>
      <c r="T59" s="888">
        <v>0.03750155713269204</v>
      </c>
      <c r="U59" s="888"/>
      <c r="V59" s="888"/>
      <c r="W59" s="888"/>
      <c r="X59" s="623">
        <v>1.063150393933253</v>
      </c>
      <c r="Y59" s="1243">
        <v>1.58</v>
      </c>
      <c r="Z59" s="888" t="e">
        <f>Veg!#REF!/Veg!$B$12</f>
        <v>#REF!</v>
      </c>
      <c r="AA59" s="887"/>
      <c r="AB59" s="878"/>
    </row>
    <row r="60" spans="1:28" s="33" customFormat="1" ht="15">
      <c r="A60" s="46" t="s">
        <v>628</v>
      </c>
      <c r="B60" s="888">
        <v>9.628952210545183</v>
      </c>
      <c r="C60" s="888"/>
      <c r="D60" s="888"/>
      <c r="E60" s="888"/>
      <c r="F60" s="888"/>
      <c r="G60" s="888"/>
      <c r="H60" s="888"/>
      <c r="I60" s="888"/>
      <c r="J60" s="888"/>
      <c r="K60" s="888"/>
      <c r="L60" s="888"/>
      <c r="M60" s="888"/>
      <c r="N60" s="888"/>
      <c r="O60" s="888"/>
      <c r="P60" s="888">
        <v>0.635136304916181</v>
      </c>
      <c r="Q60" s="888"/>
      <c r="R60" s="888">
        <v>3.5132550833250256</v>
      </c>
      <c r="S60" s="888"/>
      <c r="T60" s="888">
        <v>0.15400570228274085</v>
      </c>
      <c r="U60" s="888"/>
      <c r="V60" s="888"/>
      <c r="W60" s="888"/>
      <c r="X60" s="623">
        <v>4.365984656864562</v>
      </c>
      <c r="Y60" s="1243">
        <v>0.87</v>
      </c>
      <c r="Z60" s="888" t="e">
        <f>Veg!#REF!/Veg!$B$12</f>
        <v>#REF!</v>
      </c>
      <c r="AA60" s="98"/>
      <c r="AB60" s="878"/>
    </row>
    <row r="61" spans="1:28" s="33" customFormat="1" ht="15">
      <c r="A61" s="46" t="s">
        <v>629</v>
      </c>
      <c r="B61" s="888">
        <v>2.475121813485063</v>
      </c>
      <c r="C61" s="888"/>
      <c r="D61" s="888"/>
      <c r="E61" s="888"/>
      <c r="F61" s="888"/>
      <c r="G61" s="888"/>
      <c r="H61" s="888"/>
      <c r="I61" s="888"/>
      <c r="J61" s="888"/>
      <c r="K61" s="888"/>
      <c r="L61" s="888"/>
      <c r="M61" s="888"/>
      <c r="N61" s="888"/>
      <c r="O61" s="888"/>
      <c r="P61" s="888">
        <v>37.63257943727293</v>
      </c>
      <c r="Q61" s="888"/>
      <c r="R61" s="888">
        <v>1.543669630856026</v>
      </c>
      <c r="S61" s="888"/>
      <c r="T61" s="888">
        <v>0.06766770984574362</v>
      </c>
      <c r="U61" s="888"/>
      <c r="V61" s="888"/>
      <c r="W61" s="888"/>
      <c r="X61" s="623">
        <v>1.9183457402719086</v>
      </c>
      <c r="Y61" s="1243">
        <v>0.42</v>
      </c>
      <c r="Z61" s="888" t="e">
        <f>Veg!#REF!/Veg!$B$12</f>
        <v>#REF!</v>
      </c>
      <c r="AA61" s="98"/>
      <c r="AB61" s="878"/>
    </row>
    <row r="62" spans="1:28" s="33" customFormat="1" ht="15">
      <c r="A62" s="46" t="s">
        <v>830</v>
      </c>
      <c r="B62" s="888">
        <v>1.2769374507040046</v>
      </c>
      <c r="C62" s="888"/>
      <c r="D62" s="888"/>
      <c r="E62" s="888"/>
      <c r="F62" s="888"/>
      <c r="G62" s="888"/>
      <c r="H62" s="888"/>
      <c r="I62" s="888"/>
      <c r="J62" s="888"/>
      <c r="K62" s="888"/>
      <c r="L62" s="888"/>
      <c r="M62" s="888"/>
      <c r="N62" s="888"/>
      <c r="O62" s="888"/>
      <c r="P62" s="888">
        <v>44.399</v>
      </c>
      <c r="Q62" s="888"/>
      <c r="R62" s="888">
        <v>0.7099899919659336</v>
      </c>
      <c r="S62" s="888"/>
      <c r="T62" s="888">
        <v>0.031122848962890238</v>
      </c>
      <c r="U62" s="888"/>
      <c r="V62" s="888"/>
      <c r="W62" s="888"/>
      <c r="X62" s="623">
        <v>0.8823172066734568</v>
      </c>
      <c r="Y62" s="1243">
        <v>0.22</v>
      </c>
      <c r="Z62" s="888" t="e">
        <f>Veg!#REF!/Veg!$B$12</f>
        <v>#REF!</v>
      </c>
      <c r="AA62" s="98"/>
      <c r="AB62" s="878"/>
    </row>
    <row r="63" spans="1:28" s="33" customFormat="1" ht="15">
      <c r="A63" s="46" t="s">
        <v>631</v>
      </c>
      <c r="B63" s="888">
        <v>0.4292008761160176</v>
      </c>
      <c r="C63" s="888"/>
      <c r="D63" s="888"/>
      <c r="E63" s="888"/>
      <c r="F63" s="888"/>
      <c r="G63" s="888"/>
      <c r="H63" s="888"/>
      <c r="I63" s="888"/>
      <c r="J63" s="888"/>
      <c r="K63" s="888"/>
      <c r="L63" s="888"/>
      <c r="M63" s="888"/>
      <c r="N63" s="888"/>
      <c r="O63" s="888"/>
      <c r="P63" s="888">
        <v>0.561020000081776</v>
      </c>
      <c r="Q63" s="888"/>
      <c r="R63" s="888">
        <v>0.18841060056231101</v>
      </c>
      <c r="S63" s="888"/>
      <c r="T63" s="888">
        <v>0.0082590948191698</v>
      </c>
      <c r="U63" s="888"/>
      <c r="V63" s="888"/>
      <c r="W63" s="888"/>
      <c r="X63" s="623">
        <v>0.2341412085760542</v>
      </c>
      <c r="Y63" s="1243">
        <v>0.08</v>
      </c>
      <c r="Z63" s="888" t="e">
        <f>Veg!#REF!/Veg!$B$12</f>
        <v>#REF!</v>
      </c>
      <c r="AA63" s="98"/>
      <c r="AB63" s="879"/>
    </row>
    <row r="64" spans="1:28" s="33" customFormat="1" ht="15">
      <c r="A64" s="46" t="s">
        <v>632</v>
      </c>
      <c r="B64" s="888">
        <v>20.239345443785442</v>
      </c>
      <c r="C64" s="888"/>
      <c r="D64" s="888"/>
      <c r="E64" s="888"/>
      <c r="F64" s="888"/>
      <c r="G64" s="888"/>
      <c r="H64" s="888"/>
      <c r="I64" s="888"/>
      <c r="J64" s="888"/>
      <c r="K64" s="888"/>
      <c r="L64" s="888"/>
      <c r="M64" s="888"/>
      <c r="N64" s="888"/>
      <c r="O64" s="888"/>
      <c r="P64" s="888">
        <v>60.13054583105986</v>
      </c>
      <c r="Q64" s="888"/>
      <c r="R64" s="888">
        <v>8.06931655580351</v>
      </c>
      <c r="S64" s="888"/>
      <c r="T64" s="888">
        <v>0.3537234654598799</v>
      </c>
      <c r="U64" s="888"/>
      <c r="V64" s="888"/>
      <c r="W64" s="888"/>
      <c r="X64" s="623">
        <v>10.027883384054865</v>
      </c>
      <c r="Y64" s="1243">
        <v>3.46</v>
      </c>
      <c r="Z64" s="888" t="e">
        <f>Veg!#REF!/Veg!$B$12</f>
        <v>#REF!</v>
      </c>
      <c r="AA64" s="98"/>
      <c r="AB64" s="879"/>
    </row>
    <row r="65" spans="1:28" s="33" customFormat="1" ht="15">
      <c r="A65" s="46" t="s">
        <v>831</v>
      </c>
      <c r="B65" s="888">
        <v>1.5482275422383949</v>
      </c>
      <c r="C65" s="888"/>
      <c r="D65" s="888"/>
      <c r="E65" s="888"/>
      <c r="F65" s="888"/>
      <c r="G65" s="888"/>
      <c r="H65" s="888"/>
      <c r="I65" s="888"/>
      <c r="J65" s="888"/>
      <c r="K65" s="888"/>
      <c r="L65" s="888"/>
      <c r="M65" s="888"/>
      <c r="N65" s="888"/>
      <c r="O65" s="888"/>
      <c r="P65" s="888">
        <v>90.0736</v>
      </c>
      <c r="Q65" s="888"/>
      <c r="R65" s="888">
        <v>0.153683258752752</v>
      </c>
      <c r="S65" s="888"/>
      <c r="T65" s="888">
        <v>0.00673680038368228</v>
      </c>
      <c r="U65" s="888"/>
      <c r="V65" s="888"/>
      <c r="W65" s="888"/>
      <c r="X65" s="623">
        <v>0.1909849224772008</v>
      </c>
      <c r="Y65" s="1243">
        <v>0.66</v>
      </c>
      <c r="Z65" s="888" t="e">
        <f>Veg!#REF!/Veg!$B$12</f>
        <v>#REF!</v>
      </c>
      <c r="AA65" s="98"/>
      <c r="AB65" s="878"/>
    </row>
    <row r="66" spans="1:28" s="33" customFormat="1" ht="15">
      <c r="A66" s="46" t="s">
        <v>634</v>
      </c>
      <c r="B66" s="888">
        <v>0.5246440555339997</v>
      </c>
      <c r="C66" s="888"/>
      <c r="D66" s="888"/>
      <c r="E66" s="888"/>
      <c r="F66" s="888"/>
      <c r="G66" s="888"/>
      <c r="H66" s="888"/>
      <c r="I66" s="888"/>
      <c r="J66" s="888"/>
      <c r="K66" s="888"/>
      <c r="L66" s="888"/>
      <c r="M66" s="888"/>
      <c r="N66" s="888"/>
      <c r="O66" s="888"/>
      <c r="P66" s="888">
        <v>0.670579918536115</v>
      </c>
      <c r="Q66" s="888"/>
      <c r="R66" s="888">
        <v>0.17282828751355306</v>
      </c>
      <c r="S66" s="888"/>
      <c r="T66" s="888">
        <v>0.007576034521142051</v>
      </c>
      <c r="U66" s="888"/>
      <c r="V66" s="888"/>
      <c r="W66" s="888"/>
      <c r="X66" s="623">
        <v>0.2147767906571166</v>
      </c>
      <c r="Y66" s="1243">
        <v>0.03</v>
      </c>
      <c r="Z66" s="888" t="e">
        <f>Veg!#REF!/Veg!$B$12</f>
        <v>#REF!</v>
      </c>
      <c r="AA66" s="98"/>
      <c r="AB66" s="881"/>
    </row>
    <row r="67" spans="1:28" s="440" customFormat="1" ht="12.75">
      <c r="A67" s="897" t="s">
        <v>612</v>
      </c>
      <c r="B67" s="686">
        <v>0.6855224074792378</v>
      </c>
      <c r="C67" s="686"/>
      <c r="D67" s="686"/>
      <c r="E67" s="686"/>
      <c r="F67" s="686"/>
      <c r="G67" s="686"/>
      <c r="H67" s="686"/>
      <c r="I67" s="686"/>
      <c r="J67" s="686"/>
      <c r="K67" s="686"/>
      <c r="L67" s="686"/>
      <c r="M67" s="686"/>
      <c r="N67" s="686"/>
      <c r="O67" s="686"/>
      <c r="P67" s="686">
        <v>0.8348992819095681</v>
      </c>
      <c r="Q67" s="686"/>
      <c r="R67" s="686">
        <v>0.1131802417419037</v>
      </c>
      <c r="S67" s="686"/>
      <c r="T67" s="686">
        <v>0.004961325665398519</v>
      </c>
      <c r="U67" s="686"/>
      <c r="V67" s="686"/>
      <c r="W67" s="686"/>
      <c r="X67" s="688">
        <v>0.14065110195121533</v>
      </c>
      <c r="Y67" s="440">
        <v>0.06580000000000001</v>
      </c>
      <c r="Z67" s="891" t="s">
        <v>159</v>
      </c>
      <c r="AA67" s="317"/>
      <c r="AB67" s="879"/>
    </row>
    <row r="68" spans="1:28" s="440" customFormat="1" ht="12.75">
      <c r="A68" s="897" t="s">
        <v>615</v>
      </c>
      <c r="B68" s="686">
        <v>12.963479373475696</v>
      </c>
      <c r="C68" s="686"/>
      <c r="D68" s="686"/>
      <c r="E68" s="686"/>
      <c r="F68" s="686"/>
      <c r="G68" s="686"/>
      <c r="H68" s="686"/>
      <c r="I68" s="686"/>
      <c r="J68" s="686"/>
      <c r="K68" s="686"/>
      <c r="L68" s="686"/>
      <c r="M68" s="686"/>
      <c r="N68" s="686"/>
      <c r="O68" s="686"/>
      <c r="P68" s="686">
        <v>24.417721359568308</v>
      </c>
      <c r="Q68" s="686"/>
      <c r="R68" s="686">
        <v>5.565647073212658</v>
      </c>
      <c r="S68" s="686"/>
      <c r="T68" s="686">
        <v>0.24397357033260966</v>
      </c>
      <c r="U68" s="686"/>
      <c r="V68" s="686"/>
      <c r="W68" s="686"/>
      <c r="X68" s="688">
        <v>6.916528732144316</v>
      </c>
      <c r="Y68" s="440">
        <v>11.072000000000001</v>
      </c>
      <c r="Z68" s="891" t="s">
        <v>159</v>
      </c>
      <c r="AA68" s="892"/>
      <c r="AB68" s="879"/>
    </row>
    <row r="69" spans="1:28" s="440" customFormat="1" ht="12.75">
      <c r="A69" s="897"/>
      <c r="B69" s="686"/>
      <c r="C69" s="686"/>
      <c r="D69" s="686"/>
      <c r="E69" s="686"/>
      <c r="F69" s="686"/>
      <c r="G69" s="686"/>
      <c r="H69" s="686"/>
      <c r="I69" s="686"/>
      <c r="J69" s="686"/>
      <c r="K69" s="686"/>
      <c r="L69" s="686"/>
      <c r="M69" s="686"/>
      <c r="N69" s="686"/>
      <c r="O69" s="686"/>
      <c r="P69" s="686"/>
      <c r="Q69" s="686"/>
      <c r="R69" s="686"/>
      <c r="S69" s="686"/>
      <c r="T69" s="686"/>
      <c r="U69" s="686"/>
      <c r="V69" s="686"/>
      <c r="W69" s="686"/>
      <c r="X69" s="688"/>
      <c r="Z69" s="891"/>
      <c r="AA69" s="892"/>
      <c r="AB69" s="882"/>
    </row>
    <row r="70" spans="1:28" s="440" customFormat="1" ht="12.75">
      <c r="A70" s="893" t="s">
        <v>910</v>
      </c>
      <c r="B70" s="900"/>
      <c r="C70" s="900"/>
      <c r="D70" s="900"/>
      <c r="E70" s="900"/>
      <c r="F70" s="900"/>
      <c r="G70" s="900"/>
      <c r="H70" s="900"/>
      <c r="I70" s="900"/>
      <c r="J70" s="900"/>
      <c r="K70" s="900"/>
      <c r="L70" s="900"/>
      <c r="M70" s="900"/>
      <c r="N70" s="900"/>
      <c r="O70" s="900"/>
      <c r="P70" s="900"/>
      <c r="Q70" s="900"/>
      <c r="R70" s="900"/>
      <c r="S70" s="900"/>
      <c r="T70" s="900"/>
      <c r="U70" s="900"/>
      <c r="V70" s="900"/>
      <c r="W70" s="900"/>
      <c r="X70" s="919">
        <f>SUM(X71:X79)</f>
        <v>7.984277893838524</v>
      </c>
      <c r="Y70" s="1233">
        <f>SUM(Y71:Y79)</f>
        <v>27.31528</v>
      </c>
      <c r="Z70" s="895"/>
      <c r="AA70" s="896"/>
      <c r="AB70" s="879"/>
    </row>
    <row r="71" spans="1:28" s="33" customFormat="1" ht="12.75">
      <c r="A71" s="46" t="s">
        <v>636</v>
      </c>
      <c r="B71" s="888">
        <v>0.5405313657609925</v>
      </c>
      <c r="C71" s="888"/>
      <c r="D71" s="888"/>
      <c r="E71" s="888"/>
      <c r="F71" s="888"/>
      <c r="G71" s="888"/>
      <c r="H71" s="888"/>
      <c r="I71" s="888"/>
      <c r="J71" s="888"/>
      <c r="K71" s="888"/>
      <c r="L71" s="888"/>
      <c r="M71" s="888"/>
      <c r="N71" s="888"/>
      <c r="O71" s="888"/>
      <c r="P71" s="888">
        <v>15.40000000000001</v>
      </c>
      <c r="Q71" s="888"/>
      <c r="R71" s="888">
        <v>0.45728953543379963</v>
      </c>
      <c r="S71" s="888"/>
      <c r="T71" s="888">
        <v>0.020045568676550118</v>
      </c>
      <c r="U71" s="888"/>
      <c r="V71" s="888"/>
      <c r="W71" s="888"/>
      <c r="X71" s="623">
        <v>0.5682818491958577</v>
      </c>
      <c r="Y71" s="440">
        <v>1.9379999999999997</v>
      </c>
      <c r="Z71" s="888" t="e">
        <f>Veg!#REF!/Veg!$B$13</f>
        <v>#REF!</v>
      </c>
      <c r="AA71" s="887"/>
      <c r="AB71" s="879"/>
    </row>
    <row r="72" spans="1:28" s="33" customFormat="1" ht="12.75">
      <c r="A72" s="46" t="s">
        <v>637</v>
      </c>
      <c r="B72" s="888">
        <v>0.50143551976476</v>
      </c>
      <c r="C72" s="888"/>
      <c r="D72" s="888"/>
      <c r="E72" s="888"/>
      <c r="F72" s="888"/>
      <c r="G72" s="888"/>
      <c r="H72" s="888"/>
      <c r="I72" s="888"/>
      <c r="J72" s="888"/>
      <c r="K72" s="888"/>
      <c r="L72" s="888"/>
      <c r="M72" s="888"/>
      <c r="N72" s="888"/>
      <c r="O72" s="888"/>
      <c r="P72" s="888">
        <v>15.4</v>
      </c>
      <c r="Q72" s="888"/>
      <c r="R72" s="888">
        <v>0.42421444972098693</v>
      </c>
      <c r="S72" s="888"/>
      <c r="T72" s="888">
        <v>0.01859570190557751</v>
      </c>
      <c r="U72" s="888"/>
      <c r="V72" s="888"/>
      <c r="W72" s="888"/>
      <c r="X72" s="623">
        <v>0.5271788511721696</v>
      </c>
      <c r="Y72" s="440">
        <v>1.7649000000000001</v>
      </c>
      <c r="Z72" s="888" t="e">
        <f>Veg!#REF!/Veg!$B$13</f>
        <v>#REF!</v>
      </c>
      <c r="AA72" s="887"/>
      <c r="AB72" s="882"/>
    </row>
    <row r="73" spans="1:28" s="33" customFormat="1" ht="12.75">
      <c r="A73" s="46" t="s">
        <v>638</v>
      </c>
      <c r="B73" s="888">
        <v>0.9740529890881439</v>
      </c>
      <c r="C73" s="888"/>
      <c r="D73" s="888"/>
      <c r="E73" s="888"/>
      <c r="F73" s="888"/>
      <c r="G73" s="888"/>
      <c r="H73" s="888"/>
      <c r="I73" s="888"/>
      <c r="J73" s="888"/>
      <c r="K73" s="888"/>
      <c r="L73" s="888"/>
      <c r="M73" s="888"/>
      <c r="N73" s="888"/>
      <c r="O73" s="888"/>
      <c r="P73" s="888">
        <v>15.400000000000002</v>
      </c>
      <c r="Q73" s="888"/>
      <c r="R73" s="888">
        <v>0.8240488287685697</v>
      </c>
      <c r="S73" s="888"/>
      <c r="T73" s="888">
        <v>0.036122688384375656</v>
      </c>
      <c r="U73" s="888"/>
      <c r="V73" s="888"/>
      <c r="W73" s="888"/>
      <c r="X73" s="623">
        <v>1.0240601543528576</v>
      </c>
      <c r="Y73" s="440">
        <v>3.5434799999999997</v>
      </c>
      <c r="Z73" s="888" t="e">
        <f>Veg!#REF!/Veg!$B$13</f>
        <v>#REF!</v>
      </c>
      <c r="AA73" s="887"/>
      <c r="AB73" s="882"/>
    </row>
    <row r="74" spans="1:28" s="33" customFormat="1" ht="12.75">
      <c r="A74" s="46" t="s">
        <v>639</v>
      </c>
      <c r="B74" s="888">
        <v>0.8793752266933899</v>
      </c>
      <c r="C74" s="888"/>
      <c r="D74" s="888"/>
      <c r="E74" s="888"/>
      <c r="F74" s="888"/>
      <c r="G74" s="888"/>
      <c r="H74" s="888"/>
      <c r="I74" s="888"/>
      <c r="J74" s="888"/>
      <c r="K74" s="888"/>
      <c r="L74" s="888"/>
      <c r="M74" s="888"/>
      <c r="N74" s="888"/>
      <c r="O74" s="888"/>
      <c r="P74" s="888">
        <v>15.40000000000001</v>
      </c>
      <c r="Q74" s="888"/>
      <c r="R74" s="888">
        <v>0.7439514417826079</v>
      </c>
      <c r="S74" s="888"/>
      <c r="T74" s="888">
        <v>0.03261157005074446</v>
      </c>
      <c r="U74" s="888"/>
      <c r="V74" s="888"/>
      <c r="W74" s="888"/>
      <c r="X74" s="623">
        <v>0.9245217051535798</v>
      </c>
      <c r="Y74" s="440">
        <v>3.1004</v>
      </c>
      <c r="Z74" s="888" t="e">
        <f>Veg!#REF!/Veg!$B$13</f>
        <v>#REF!</v>
      </c>
      <c r="AA74" s="887"/>
      <c r="AB74" s="882"/>
    </row>
    <row r="75" spans="1:28" s="33" customFormat="1" ht="12.75">
      <c r="A75" s="46" t="s">
        <v>640</v>
      </c>
      <c r="B75" s="888">
        <v>2.8621748333117103</v>
      </c>
      <c r="C75" s="888"/>
      <c r="D75" s="888"/>
      <c r="E75" s="888"/>
      <c r="F75" s="888"/>
      <c r="G75" s="888"/>
      <c r="H75" s="888"/>
      <c r="I75" s="888"/>
      <c r="J75" s="888"/>
      <c r="K75" s="888"/>
      <c r="L75" s="888"/>
      <c r="M75" s="888"/>
      <c r="N75" s="888"/>
      <c r="O75" s="888"/>
      <c r="P75" s="888">
        <v>15.400000000000006</v>
      </c>
      <c r="Q75" s="888"/>
      <c r="R75" s="888">
        <v>2.421399908981707</v>
      </c>
      <c r="S75" s="888"/>
      <c r="T75" s="888">
        <v>0.10614355765399264</v>
      </c>
      <c r="U75" s="888"/>
      <c r="V75" s="888"/>
      <c r="W75" s="888"/>
      <c r="X75" s="623">
        <v>3.0091167877118634</v>
      </c>
      <c r="Y75" s="440">
        <v>10.444700000000001</v>
      </c>
      <c r="Z75" s="888" t="e">
        <f>Veg!#REF!/Veg!$B$13</f>
        <v>#REF!</v>
      </c>
      <c r="AA75" s="887"/>
      <c r="AB75" s="878"/>
    </row>
    <row r="76" spans="1:28" s="33" customFormat="1" ht="12.75">
      <c r="A76" s="46" t="s">
        <v>606</v>
      </c>
      <c r="B76" s="888">
        <v>0.024635852720121247</v>
      </c>
      <c r="C76" s="888"/>
      <c r="D76" s="888"/>
      <c r="E76" s="888"/>
      <c r="F76" s="888"/>
      <c r="G76" s="888"/>
      <c r="H76" s="888"/>
      <c r="I76" s="888"/>
      <c r="J76" s="888"/>
      <c r="K76" s="888"/>
      <c r="L76" s="888"/>
      <c r="M76" s="888"/>
      <c r="N76" s="888"/>
      <c r="O76" s="888"/>
      <c r="P76" s="888">
        <v>86.23679999999999</v>
      </c>
      <c r="Q76" s="888"/>
      <c r="R76" s="888">
        <v>0.0033906816815757273</v>
      </c>
      <c r="S76" s="888"/>
      <c r="T76" s="888">
        <v>0.0001486326216581141</v>
      </c>
      <c r="U76" s="888"/>
      <c r="V76" s="888"/>
      <c r="W76" s="888"/>
      <c r="X76" s="623">
        <v>0.004213660507696705</v>
      </c>
      <c r="Y76" s="440">
        <v>0.40379999999999994</v>
      </c>
      <c r="Z76" s="888" t="e">
        <f>Veg!#REF!/Veg!$B$11</f>
        <v>#REF!</v>
      </c>
      <c r="AA76" s="887"/>
      <c r="AB76" s="879"/>
    </row>
    <row r="77" spans="1:28" s="33" customFormat="1" ht="12.75">
      <c r="A77" s="46" t="s">
        <v>832</v>
      </c>
      <c r="B77" s="888">
        <v>0.3231437988667468</v>
      </c>
      <c r="C77" s="888"/>
      <c r="D77" s="888"/>
      <c r="E77" s="888"/>
      <c r="F77" s="888"/>
      <c r="G77" s="888"/>
      <c r="H77" s="888"/>
      <c r="I77" s="888"/>
      <c r="J77" s="888"/>
      <c r="K77" s="888"/>
      <c r="L77" s="888"/>
      <c r="M77" s="888"/>
      <c r="N77" s="888"/>
      <c r="O77" s="888"/>
      <c r="P77" s="888">
        <v>34.647619047619045</v>
      </c>
      <c r="Q77" s="888"/>
      <c r="R77" s="888">
        <v>0.21118216645939203</v>
      </c>
      <c r="S77" s="888"/>
      <c r="T77" s="888">
        <v>0.009257300447534993</v>
      </c>
      <c r="U77" s="888"/>
      <c r="V77" s="888"/>
      <c r="W77" s="888"/>
      <c r="X77" s="623">
        <v>0.26243983903739326</v>
      </c>
      <c r="Y77" s="440">
        <v>0.356</v>
      </c>
      <c r="Z77" s="888" t="e">
        <f>Veg!#REF!/Veg!$B$11</f>
        <v>#REF!</v>
      </c>
      <c r="AA77" s="887"/>
      <c r="AB77" s="879"/>
    </row>
    <row r="78" spans="1:28" s="33" customFormat="1" ht="12.75">
      <c r="A78" s="46" t="s">
        <v>641</v>
      </c>
      <c r="B78" s="888">
        <v>0.22584582125798797</v>
      </c>
      <c r="C78" s="888"/>
      <c r="D78" s="888"/>
      <c r="E78" s="888"/>
      <c r="F78" s="888"/>
      <c r="G78" s="888"/>
      <c r="H78" s="888"/>
      <c r="I78" s="888"/>
      <c r="J78" s="888"/>
      <c r="K78" s="888"/>
      <c r="L78" s="888"/>
      <c r="M78" s="888"/>
      <c r="N78" s="888"/>
      <c r="O78" s="888"/>
      <c r="P78" s="888">
        <v>15.400000000000002</v>
      </c>
      <c r="Q78" s="888"/>
      <c r="R78" s="888">
        <v>0.19106556478425782</v>
      </c>
      <c r="S78" s="888"/>
      <c r="T78" s="888">
        <v>0.008375476812460616</v>
      </c>
      <c r="U78" s="888"/>
      <c r="V78" s="888"/>
      <c r="W78" s="888"/>
      <c r="X78" s="623">
        <v>0.23744057989485223</v>
      </c>
      <c r="Y78" s="440">
        <v>0.8136</v>
      </c>
      <c r="Z78" s="888" t="e">
        <f>Veg!#REF!/Veg!$B$13</f>
        <v>#REF!</v>
      </c>
      <c r="AA78" s="887"/>
      <c r="AB78" s="882"/>
    </row>
    <row r="79" spans="1:28" s="33" customFormat="1" ht="12.75">
      <c r="A79" s="46" t="s">
        <v>643</v>
      </c>
      <c r="B79" s="888">
        <v>1.3573396460081804</v>
      </c>
      <c r="C79" s="888"/>
      <c r="D79" s="888"/>
      <c r="E79" s="888"/>
      <c r="F79" s="888"/>
      <c r="G79" s="888"/>
      <c r="H79" s="888"/>
      <c r="I79" s="888"/>
      <c r="J79" s="888"/>
      <c r="K79" s="888"/>
      <c r="L79" s="888"/>
      <c r="M79" s="888"/>
      <c r="N79" s="888"/>
      <c r="O79" s="888"/>
      <c r="P79" s="888">
        <v>15.400000000000006</v>
      </c>
      <c r="Q79" s="888"/>
      <c r="R79" s="888">
        <v>1.1483093405229206</v>
      </c>
      <c r="S79" s="888"/>
      <c r="T79" s="888">
        <v>0.050336847803744464</v>
      </c>
      <c r="U79" s="888"/>
      <c r="V79" s="888"/>
      <c r="W79" s="888"/>
      <c r="X79" s="623">
        <v>1.4270244668122536</v>
      </c>
      <c r="Y79" s="440">
        <v>4.950399999999999</v>
      </c>
      <c r="Z79" s="888" t="e">
        <f>Veg!#REF!/Veg!$B$13</f>
        <v>#REF!</v>
      </c>
      <c r="AA79" s="887"/>
      <c r="AB79" s="882"/>
    </row>
    <row r="80" spans="1:28" s="33" customFormat="1" ht="12.75">
      <c r="A80" s="677"/>
      <c r="B80" s="889"/>
      <c r="C80" s="889"/>
      <c r="D80" s="889"/>
      <c r="E80" s="889"/>
      <c r="F80" s="889"/>
      <c r="G80" s="889"/>
      <c r="H80" s="889"/>
      <c r="I80" s="889"/>
      <c r="J80" s="889"/>
      <c r="K80" s="889"/>
      <c r="L80" s="889"/>
      <c r="M80" s="889"/>
      <c r="N80" s="889"/>
      <c r="O80" s="889"/>
      <c r="P80" s="889"/>
      <c r="Q80" s="889"/>
      <c r="R80" s="889"/>
      <c r="S80" s="889"/>
      <c r="T80" s="889"/>
      <c r="U80" s="889"/>
      <c r="V80" s="889"/>
      <c r="W80" s="889"/>
      <c r="X80" s="623"/>
      <c r="Y80" s="440"/>
      <c r="Z80" s="888"/>
      <c r="AA80" s="887"/>
      <c r="AB80" s="882"/>
    </row>
    <row r="81" spans="1:28" s="33" customFormat="1" ht="12.75">
      <c r="A81" s="677" t="s">
        <v>836</v>
      </c>
      <c r="B81" s="888"/>
      <c r="C81" s="888"/>
      <c r="D81" s="888"/>
      <c r="E81" s="888"/>
      <c r="F81" s="888"/>
      <c r="G81" s="888"/>
      <c r="H81" s="888"/>
      <c r="I81" s="888"/>
      <c r="J81" s="888"/>
      <c r="K81" s="888"/>
      <c r="L81" s="888"/>
      <c r="M81" s="888"/>
      <c r="N81" s="888"/>
      <c r="O81" s="888"/>
      <c r="P81" s="888"/>
      <c r="Q81" s="888"/>
      <c r="R81" s="888"/>
      <c r="S81" s="888"/>
      <c r="T81" s="888"/>
      <c r="U81" s="888"/>
      <c r="V81" s="888"/>
      <c r="W81" s="888"/>
      <c r="X81" s="918">
        <f>SUM(X82:X141)</f>
        <v>146.8399090094943</v>
      </c>
      <c r="Y81" s="1233">
        <f>SUM(Y82:Y141)</f>
        <v>79.2948147839461</v>
      </c>
      <c r="Z81" s="889"/>
      <c r="AA81" s="899"/>
      <c r="AB81" s="882"/>
    </row>
    <row r="82" spans="1:28" s="33" customFormat="1" ht="12.75">
      <c r="A82" s="46" t="s">
        <v>837</v>
      </c>
      <c r="B82" s="686">
        <v>16.345637175774506</v>
      </c>
      <c r="C82" s="686"/>
      <c r="D82" s="686">
        <v>4</v>
      </c>
      <c r="E82" s="686"/>
      <c r="F82" s="686">
        <v>15.691811688743524</v>
      </c>
      <c r="G82" s="686"/>
      <c r="H82" s="686">
        <v>8.619981232754515</v>
      </c>
      <c r="I82" s="686"/>
      <c r="J82" s="686">
        <v>14.339180466094657</v>
      </c>
      <c r="K82" s="686"/>
      <c r="L82" s="686">
        <v>10</v>
      </c>
      <c r="M82" s="686"/>
      <c r="N82" s="686">
        <v>20</v>
      </c>
      <c r="O82" s="686"/>
      <c r="P82" s="906">
        <f>0.01*38.592627388411</f>
        <v>0.38592627388411005</v>
      </c>
      <c r="Q82" s="686"/>
      <c r="R82" s="686">
        <v>10.03742632626626</v>
      </c>
      <c r="S82" s="686"/>
      <c r="T82" s="686"/>
      <c r="U82" s="686"/>
      <c r="V82" s="686">
        <v>0.4399967704664662</v>
      </c>
      <c r="W82" s="686"/>
      <c r="X82" s="688">
        <v>12.473688444339084</v>
      </c>
      <c r="Y82" s="440">
        <v>6.484400000000001</v>
      </c>
      <c r="Z82" s="888" t="e">
        <f>Fruit!#REF!/Fruit!$B$11</f>
        <v>#REF!</v>
      </c>
      <c r="AA82" s="887"/>
      <c r="AB82" s="882"/>
    </row>
    <row r="83" spans="1:28" s="33" customFormat="1" ht="12.75">
      <c r="A83" s="46" t="s">
        <v>838</v>
      </c>
      <c r="B83" s="686">
        <v>4.156237849200584</v>
      </c>
      <c r="C83" s="686"/>
      <c r="D83" s="686">
        <v>20</v>
      </c>
      <c r="E83" s="686"/>
      <c r="F83" s="686">
        <v>3.324990279360466</v>
      </c>
      <c r="G83" s="686"/>
      <c r="H83" s="686">
        <v>6</v>
      </c>
      <c r="I83" s="686"/>
      <c r="J83" s="686">
        <v>3.1254908625988382</v>
      </c>
      <c r="K83" s="686"/>
      <c r="L83" s="686">
        <v>0</v>
      </c>
      <c r="M83" s="686"/>
      <c r="N83" s="686">
        <v>8</v>
      </c>
      <c r="O83" s="686"/>
      <c r="P83" s="906">
        <f>0.01*30.816</f>
        <v>0.30816</v>
      </c>
      <c r="Q83" s="686"/>
      <c r="R83" s="686">
        <v>2.875451593590931</v>
      </c>
      <c r="S83" s="686"/>
      <c r="T83" s="686"/>
      <c r="U83" s="686"/>
      <c r="V83" s="686">
        <v>0.12604719314371204</v>
      </c>
      <c r="W83" s="686"/>
      <c r="X83" s="688">
        <v>3.573374902027665</v>
      </c>
      <c r="Y83" s="440">
        <v>2.1776999999999997</v>
      </c>
      <c r="Z83" s="888" t="e">
        <f>Fruit!#REF!/Fruit!$B$11</f>
        <v>#REF!</v>
      </c>
      <c r="AA83" s="887"/>
      <c r="AB83" s="882"/>
    </row>
    <row r="84" spans="1:28" s="33" customFormat="1" ht="12.75">
      <c r="A84" s="46" t="s">
        <v>839</v>
      </c>
      <c r="B84" s="686">
        <v>0.04452596618127151</v>
      </c>
      <c r="C84" s="686"/>
      <c r="D84" s="686">
        <v>40.11976047904191</v>
      </c>
      <c r="E84" s="686"/>
      <c r="F84" s="686">
        <v>0.02666225519836618</v>
      </c>
      <c r="G84" s="686"/>
      <c r="H84" s="686">
        <v>6</v>
      </c>
      <c r="I84" s="686"/>
      <c r="J84" s="686">
        <v>0.025062519886464206</v>
      </c>
      <c r="K84" s="686"/>
      <c r="L84" s="686">
        <v>0</v>
      </c>
      <c r="M84" s="686"/>
      <c r="N84" s="686">
        <v>35</v>
      </c>
      <c r="O84" s="686"/>
      <c r="P84" s="906">
        <f>0.01*63.4131736526946</f>
        <v>0.634131736526946</v>
      </c>
      <c r="Q84" s="686"/>
      <c r="R84" s="686">
        <v>0.01629063792620174</v>
      </c>
      <c r="S84" s="686"/>
      <c r="T84" s="686"/>
      <c r="U84" s="686"/>
      <c r="V84" s="686">
        <v>0.0007141101556691174</v>
      </c>
      <c r="W84" s="686"/>
      <c r="X84" s="688">
        <v>0.02024466585814164</v>
      </c>
      <c r="Y84" s="440">
        <v>0.0096</v>
      </c>
      <c r="Z84" s="888" t="e">
        <f>Fruit!#REF!/Fruit!$B$11</f>
        <v>#REF!</v>
      </c>
      <c r="AA84" s="887"/>
      <c r="AB84" s="882"/>
    </row>
    <row r="85" spans="1:28" s="33" customFormat="1" ht="12.75">
      <c r="A85" s="46" t="s">
        <v>840</v>
      </c>
      <c r="B85" s="686">
        <v>0.9065006359593581</v>
      </c>
      <c r="C85" s="686"/>
      <c r="D85" s="686">
        <v>87.5</v>
      </c>
      <c r="E85" s="686"/>
      <c r="F85" s="686">
        <v>0.1133125794949198</v>
      </c>
      <c r="G85" s="686"/>
      <c r="H85" s="686">
        <v>6</v>
      </c>
      <c r="I85" s="686"/>
      <c r="J85" s="686">
        <v>0.10651382472522461</v>
      </c>
      <c r="K85" s="686"/>
      <c r="L85" s="686">
        <v>0</v>
      </c>
      <c r="M85" s="686"/>
      <c r="N85" s="686">
        <v>11</v>
      </c>
      <c r="O85" s="686"/>
      <c r="P85" s="906">
        <f>0.01*89.5425</f>
        <v>0.895425</v>
      </c>
      <c r="Q85" s="686"/>
      <c r="R85" s="686">
        <v>0.0947973040054499</v>
      </c>
      <c r="S85" s="686"/>
      <c r="T85" s="686"/>
      <c r="U85" s="686"/>
      <c r="V85" s="686">
        <v>0.004155498257773146</v>
      </c>
      <c r="W85" s="686"/>
      <c r="X85" s="688">
        <v>0.11780629785873979</v>
      </c>
      <c r="Y85" s="440">
        <v>0.2916</v>
      </c>
      <c r="Z85" s="888" t="e">
        <f>Fruit!#REF!/Fruit!$B$11</f>
        <v>#REF!</v>
      </c>
      <c r="AA85" s="887"/>
      <c r="AB85" s="882"/>
    </row>
    <row r="86" spans="1:28" s="33" customFormat="1" ht="12.75">
      <c r="A86" s="46" t="s">
        <v>841</v>
      </c>
      <c r="B86" s="686">
        <v>26.014954522888424</v>
      </c>
      <c r="C86" s="686"/>
      <c r="D86" s="686">
        <v>26.666666666666664</v>
      </c>
      <c r="E86" s="686"/>
      <c r="F86" s="686">
        <v>19.077633316784844</v>
      </c>
      <c r="G86" s="686"/>
      <c r="H86" s="686">
        <v>6</v>
      </c>
      <c r="I86" s="686"/>
      <c r="J86" s="686">
        <v>17.932975317777753</v>
      </c>
      <c r="K86" s="686"/>
      <c r="L86" s="686">
        <v>0</v>
      </c>
      <c r="M86" s="686"/>
      <c r="N86" s="686">
        <v>10</v>
      </c>
      <c r="O86" s="686"/>
      <c r="P86" s="906">
        <f>0.01*37.96</f>
        <v>0.3796</v>
      </c>
      <c r="Q86" s="686"/>
      <c r="R86" s="686">
        <v>16.13967778599998</v>
      </c>
      <c r="S86" s="686"/>
      <c r="T86" s="686">
        <v>1.834054293863634</v>
      </c>
      <c r="U86" s="686"/>
      <c r="V86" s="686">
        <v>0.7074927248657525</v>
      </c>
      <c r="W86" s="686"/>
      <c r="X86" s="688">
        <v>20.057065003581652</v>
      </c>
      <c r="Y86" s="440">
        <v>9.3279</v>
      </c>
      <c r="Z86" s="888" t="e">
        <f>Fruit!#REF!/Fruit!$B$11</f>
        <v>#REF!</v>
      </c>
      <c r="AA86" s="887"/>
      <c r="AB86" s="882"/>
    </row>
    <row r="87" spans="1:28" s="33" customFormat="1" ht="12.75">
      <c r="A87" s="46" t="s">
        <v>842</v>
      </c>
      <c r="B87" s="216">
        <v>0.8053338978481657</v>
      </c>
      <c r="C87" s="686"/>
      <c r="D87" s="686">
        <v>8</v>
      </c>
      <c r="E87" s="686"/>
      <c r="F87" s="686">
        <v>0.7409071860203124</v>
      </c>
      <c r="G87" s="686"/>
      <c r="H87" s="686">
        <v>5.246767404572406</v>
      </c>
      <c r="I87" s="686"/>
      <c r="J87" s="686">
        <v>0.702033509286064</v>
      </c>
      <c r="K87" s="686"/>
      <c r="L87" s="686">
        <v>5</v>
      </c>
      <c r="M87" s="686"/>
      <c r="N87" s="686">
        <v>8</v>
      </c>
      <c r="O87" s="686"/>
      <c r="P87" s="906">
        <f>0.01*24.1595126306198</f>
        <v>0.241595126306198</v>
      </c>
      <c r="Q87" s="686"/>
      <c r="R87" s="686">
        <v>0.6107691530788757</v>
      </c>
      <c r="S87" s="686"/>
      <c r="T87" s="686"/>
      <c r="U87" s="686"/>
      <c r="V87" s="686">
        <v>0.026773442326745233</v>
      </c>
      <c r="W87" s="686"/>
      <c r="X87" s="688">
        <v>0.7590137032420641</v>
      </c>
      <c r="Y87" s="440">
        <v>0.43320000000000003</v>
      </c>
      <c r="Z87" s="888" t="e">
        <f>Fruit!#REF!/Fruit!$B$12</f>
        <v>#REF!</v>
      </c>
      <c r="AA87" s="887"/>
      <c r="AB87" s="879"/>
    </row>
    <row r="88" spans="1:28" s="33" customFormat="1" ht="12.75">
      <c r="A88" s="46" t="s">
        <v>843</v>
      </c>
      <c r="B88" s="686">
        <v>1.7632073620218294</v>
      </c>
      <c r="C88" s="686"/>
      <c r="D88" s="686">
        <v>2.9126213592232997</v>
      </c>
      <c r="E88" s="686"/>
      <c r="F88" s="686">
        <v>1.7118518077881837</v>
      </c>
      <c r="G88" s="686"/>
      <c r="H88" s="686">
        <v>6</v>
      </c>
      <c r="I88" s="686"/>
      <c r="J88" s="686">
        <v>1.6091406993208928</v>
      </c>
      <c r="K88" s="686"/>
      <c r="L88" s="686">
        <v>0</v>
      </c>
      <c r="M88" s="686"/>
      <c r="N88" s="686">
        <v>29</v>
      </c>
      <c r="O88" s="686"/>
      <c r="P88" s="906">
        <f>0.01*35.2038834951456</f>
        <v>0.352038834951456</v>
      </c>
      <c r="Q88" s="686"/>
      <c r="R88" s="686">
        <v>1.142489896517834</v>
      </c>
      <c r="S88" s="686"/>
      <c r="T88" s="686"/>
      <c r="U88" s="686"/>
      <c r="V88" s="686">
        <v>0.050081748888452994</v>
      </c>
      <c r="W88" s="686"/>
      <c r="X88" s="688">
        <v>1.4197925401131979</v>
      </c>
      <c r="Y88" s="440">
        <v>0.7242000000000001</v>
      </c>
      <c r="Z88" s="888" t="e">
        <f>Fruit!#REF!/Fruit!$B$12</f>
        <v>#REF!</v>
      </c>
      <c r="AA88" s="887"/>
      <c r="AB88" s="879"/>
    </row>
    <row r="89" spans="1:28" s="33" customFormat="1" ht="12.75">
      <c r="A89" s="46" t="s">
        <v>844</v>
      </c>
      <c r="B89" s="216">
        <v>0.08874573851238844</v>
      </c>
      <c r="C89" s="686"/>
      <c r="D89" s="686">
        <v>4</v>
      </c>
      <c r="E89" s="686"/>
      <c r="F89" s="686">
        <v>0.08519590897189289</v>
      </c>
      <c r="G89" s="686"/>
      <c r="H89" s="686">
        <v>5.971997107778945</v>
      </c>
      <c r="I89" s="686"/>
      <c r="J89" s="686">
        <v>0.08010801175214546</v>
      </c>
      <c r="K89" s="686"/>
      <c r="L89" s="686">
        <v>2</v>
      </c>
      <c r="M89" s="686"/>
      <c r="N89" s="686">
        <v>26</v>
      </c>
      <c r="O89" s="686"/>
      <c r="P89" s="906">
        <f>0.01*35.0078444008968</f>
        <v>0.35007844400896804</v>
      </c>
      <c r="Q89" s="686"/>
      <c r="R89" s="686">
        <v>0.05767776846154473</v>
      </c>
      <c r="S89" s="686"/>
      <c r="T89" s="686"/>
      <c r="U89" s="686"/>
      <c r="V89" s="686">
        <v>0.0025283405353005908</v>
      </c>
      <c r="W89" s="686"/>
      <c r="X89" s="688">
        <v>0.07167719000550411</v>
      </c>
      <c r="Y89" s="440">
        <v>0.0322</v>
      </c>
      <c r="Z89" s="888" t="e">
        <f>Fruit!#REF!/Fruit!B13</f>
        <v>#REF!</v>
      </c>
      <c r="AA89" s="892"/>
      <c r="AB89" s="879"/>
    </row>
    <row r="90" spans="1:28" s="33" customFormat="1" ht="12.75">
      <c r="A90" s="46" t="s">
        <v>845</v>
      </c>
      <c r="B90" s="686">
        <v>2.2260318365892546</v>
      </c>
      <c r="C90" s="686"/>
      <c r="D90" s="686">
        <v>3.199999999999989</v>
      </c>
      <c r="E90" s="686"/>
      <c r="F90" s="686">
        <v>2.1547988178183983</v>
      </c>
      <c r="G90" s="686"/>
      <c r="H90" s="686">
        <v>6</v>
      </c>
      <c r="I90" s="686"/>
      <c r="J90" s="686">
        <v>2.0255108887492943</v>
      </c>
      <c r="K90" s="686"/>
      <c r="L90" s="686">
        <v>0</v>
      </c>
      <c r="M90" s="686"/>
      <c r="N90" s="686">
        <v>10</v>
      </c>
      <c r="O90" s="686"/>
      <c r="P90" s="906">
        <f>0.01*18.1072</f>
        <v>0.18107199999999998</v>
      </c>
      <c r="Q90" s="686"/>
      <c r="R90" s="686">
        <v>1.822959799874365</v>
      </c>
      <c r="S90" s="686"/>
      <c r="T90" s="686">
        <v>0.207154522712996</v>
      </c>
      <c r="U90" s="686"/>
      <c r="V90" s="686">
        <v>0.07991056656983518</v>
      </c>
      <c r="W90" s="686"/>
      <c r="X90" s="688">
        <v>2.2654246069715422</v>
      </c>
      <c r="Y90" s="440">
        <v>1.0442</v>
      </c>
      <c r="Z90" s="888" t="e">
        <f>Fruit!#REF!/Fruit!B13</f>
        <v>#REF!</v>
      </c>
      <c r="AA90" s="892"/>
      <c r="AB90" s="878"/>
    </row>
    <row r="91" spans="1:28" s="33" customFormat="1" ht="12.75">
      <c r="A91" s="46" t="s">
        <v>846</v>
      </c>
      <c r="B91" s="686">
        <v>8.046972540727655</v>
      </c>
      <c r="C91" s="686"/>
      <c r="D91" s="686">
        <v>9</v>
      </c>
      <c r="E91" s="686"/>
      <c r="F91" s="686">
        <v>7.322745012062166</v>
      </c>
      <c r="G91" s="686"/>
      <c r="H91" s="686">
        <v>7.584522135785493</v>
      </c>
      <c r="I91" s="686"/>
      <c r="J91" s="686">
        <v>6.767349795675183</v>
      </c>
      <c r="K91" s="686"/>
      <c r="L91" s="686">
        <v>4</v>
      </c>
      <c r="M91" s="686"/>
      <c r="N91" s="686">
        <v>33</v>
      </c>
      <c r="O91" s="686"/>
      <c r="P91" s="906">
        <f>0.01*47.0182065404458</f>
        <v>0.47018206540445806</v>
      </c>
      <c r="Q91" s="686"/>
      <c r="R91" s="686">
        <v>4.263430371275365</v>
      </c>
      <c r="S91" s="686"/>
      <c r="T91" s="686"/>
      <c r="U91" s="686"/>
      <c r="V91" s="686">
        <v>0.18689009846686533</v>
      </c>
      <c r="W91" s="686"/>
      <c r="X91" s="688">
        <v>5.298240846486398</v>
      </c>
      <c r="Y91" s="440">
        <v>3.6039999999999996</v>
      </c>
      <c r="Z91" s="888" t="e">
        <f>Fruit!#REF!/Fruit!$B$14</f>
        <v>#REF!</v>
      </c>
      <c r="AA91" s="892"/>
      <c r="AB91" s="882"/>
    </row>
    <row r="92" spans="1:28" s="33" customFormat="1" ht="12.75">
      <c r="A92" s="46" t="s">
        <v>847</v>
      </c>
      <c r="B92" s="686">
        <v>4.815096380581588</v>
      </c>
      <c r="C92" s="686"/>
      <c r="D92" s="686">
        <v>19.09090909090908</v>
      </c>
      <c r="E92" s="686"/>
      <c r="F92" s="686">
        <v>3.895850707925103</v>
      </c>
      <c r="G92" s="686"/>
      <c r="H92" s="686">
        <v>6</v>
      </c>
      <c r="I92" s="686"/>
      <c r="J92" s="686">
        <v>3.6620996654495976</v>
      </c>
      <c r="K92" s="686"/>
      <c r="L92" s="686">
        <v>0</v>
      </c>
      <c r="M92" s="686"/>
      <c r="N92" s="686">
        <v>10</v>
      </c>
      <c r="O92" s="686"/>
      <c r="P92" s="906">
        <f>0.01*31.5509090909091</f>
        <v>0.315509090909091</v>
      </c>
      <c r="Q92" s="686"/>
      <c r="R92" s="686">
        <v>3.295889698904638</v>
      </c>
      <c r="S92" s="686"/>
      <c r="T92" s="686">
        <v>0.370324685270184</v>
      </c>
      <c r="U92" s="686"/>
      <c r="V92" s="686">
        <v>0.14447735666431288</v>
      </c>
      <c r="W92" s="686"/>
      <c r="X92" s="688">
        <v>4.095860822754938</v>
      </c>
      <c r="Y92" s="301">
        <v>2.4599999999999995</v>
      </c>
      <c r="Z92" s="888" t="e">
        <f>Fruit!#REF!/Fruit!$B$14</f>
        <v>#REF!</v>
      </c>
      <c r="AA92" s="879"/>
      <c r="AB92" s="884"/>
    </row>
    <row r="93" spans="1:28" s="33" customFormat="1" ht="12.75">
      <c r="A93" s="46" t="s">
        <v>848</v>
      </c>
      <c r="B93" s="686">
        <v>4.653683037397317</v>
      </c>
      <c r="C93" s="686"/>
      <c r="D93" s="686">
        <v>5</v>
      </c>
      <c r="E93" s="686"/>
      <c r="F93" s="686">
        <v>4.420998885527451</v>
      </c>
      <c r="G93" s="686"/>
      <c r="H93" s="686">
        <v>11.910544877832084</v>
      </c>
      <c r="I93" s="686"/>
      <c r="J93" s="686">
        <v>3.894433829218248</v>
      </c>
      <c r="K93" s="686"/>
      <c r="L93" s="686">
        <v>7</v>
      </c>
      <c r="M93" s="686"/>
      <c r="N93" s="686">
        <v>42</v>
      </c>
      <c r="O93" s="686"/>
      <c r="P93" s="906">
        <f>0.01*57.3206589933096</f>
        <v>0.573206589933096</v>
      </c>
      <c r="Q93" s="686"/>
      <c r="R93" s="686">
        <v>1.9861612529013066</v>
      </c>
      <c r="S93" s="686"/>
      <c r="T93" s="686"/>
      <c r="U93" s="686"/>
      <c r="V93" s="686">
        <v>0.08706460286690657</v>
      </c>
      <c r="W93" s="686"/>
      <c r="X93" s="688">
        <v>2.468237958975368</v>
      </c>
      <c r="Y93" s="301">
        <v>0.9633000000000002</v>
      </c>
      <c r="Z93" s="888" t="e">
        <f>Fruit!#REF!/Fruit!$B$15</f>
        <v>#REF!</v>
      </c>
      <c r="AA93" s="879"/>
      <c r="AB93" s="878"/>
    </row>
    <row r="94" spans="1:27" s="33" customFormat="1" ht="12.75">
      <c r="A94" s="46" t="s">
        <v>849</v>
      </c>
      <c r="B94" s="686">
        <v>3.1422988980151247</v>
      </c>
      <c r="C94" s="686"/>
      <c r="D94" s="686">
        <v>16.666666666666664</v>
      </c>
      <c r="E94" s="686"/>
      <c r="F94" s="686">
        <v>2.618582415012604</v>
      </c>
      <c r="G94" s="686"/>
      <c r="H94" s="686">
        <v>6</v>
      </c>
      <c r="I94" s="686"/>
      <c r="J94" s="686">
        <v>2.4614674701118475</v>
      </c>
      <c r="K94" s="686"/>
      <c r="L94" s="686">
        <v>0</v>
      </c>
      <c r="M94" s="686"/>
      <c r="N94" s="686">
        <v>9</v>
      </c>
      <c r="O94" s="686"/>
      <c r="P94" s="906">
        <f>0.01*28.7166666666667</f>
        <v>0.287166666666667</v>
      </c>
      <c r="Q94" s="686"/>
      <c r="R94" s="686">
        <v>2.239935397801781</v>
      </c>
      <c r="S94" s="686"/>
      <c r="T94" s="686"/>
      <c r="U94" s="686"/>
      <c r="V94" s="686">
        <v>0.09818894894473562</v>
      </c>
      <c r="W94" s="686"/>
      <c r="X94" s="984">
        <v>3.21</v>
      </c>
      <c r="Y94" s="301">
        <v>0.7704</v>
      </c>
      <c r="Z94" s="888" t="e">
        <f>Fruit!#REF!/Fruit!$B$15</f>
        <v>#REF!</v>
      </c>
      <c r="AA94" s="879"/>
    </row>
    <row r="95" spans="1:28" s="33" customFormat="1" ht="12.75">
      <c r="A95" s="46" t="s">
        <v>850</v>
      </c>
      <c r="B95" s="686">
        <v>0.24817624597340876</v>
      </c>
      <c r="C95" s="686"/>
      <c r="D95" s="686">
        <v>83.37489609310057</v>
      </c>
      <c r="E95" s="686"/>
      <c r="F95" s="686">
        <v>0.041259558765321516</v>
      </c>
      <c r="G95" s="686"/>
      <c r="H95" s="686">
        <v>6</v>
      </c>
      <c r="I95" s="686"/>
      <c r="J95" s="686">
        <v>0.03878398523940222</v>
      </c>
      <c r="K95" s="686"/>
      <c r="L95" s="686">
        <v>0</v>
      </c>
      <c r="M95" s="686"/>
      <c r="N95" s="686">
        <v>11</v>
      </c>
      <c r="O95" s="686"/>
      <c r="P95" s="906">
        <f>0.01*86.0914380714879</f>
        <v>0.860914380714879</v>
      </c>
      <c r="Q95" s="686"/>
      <c r="R95" s="686">
        <v>0.03451774686306798</v>
      </c>
      <c r="S95" s="686"/>
      <c r="T95" s="686"/>
      <c r="U95" s="686"/>
      <c r="V95" s="686">
        <v>0.0015131067118057198</v>
      </c>
      <c r="W95" s="686"/>
      <c r="X95" s="688">
        <v>0.04289581872633625</v>
      </c>
      <c r="Y95" s="440">
        <v>0.10241376720912779</v>
      </c>
      <c r="Z95" s="888" t="e">
        <f>Fruit!#REF!/Fruit!$B$15</f>
        <v>#REF!</v>
      </c>
      <c r="AA95" s="878"/>
      <c r="AB95" s="984"/>
    </row>
    <row r="96" spans="1:28" s="33" customFormat="1" ht="12.75">
      <c r="A96" s="46" t="s">
        <v>851</v>
      </c>
      <c r="B96" s="686">
        <v>3.0931657582696688</v>
      </c>
      <c r="C96" s="686"/>
      <c r="D96" s="686">
        <v>5</v>
      </c>
      <c r="E96" s="686"/>
      <c r="F96" s="686">
        <v>2.938507470356185</v>
      </c>
      <c r="G96" s="686"/>
      <c r="H96" s="686">
        <v>17.578948639861824</v>
      </c>
      <c r="I96" s="686"/>
      <c r="J96" s="686">
        <v>2.4219487513637685</v>
      </c>
      <c r="K96" s="686"/>
      <c r="L96" s="686">
        <v>10</v>
      </c>
      <c r="M96" s="686"/>
      <c r="N96" s="686">
        <v>20</v>
      </c>
      <c r="O96" s="686"/>
      <c r="P96" s="906">
        <f>0.01*45.1900008455081</f>
        <v>0.45190000845508105</v>
      </c>
      <c r="Q96" s="686"/>
      <c r="R96" s="686">
        <v>1.695364125954638</v>
      </c>
      <c r="S96" s="686"/>
      <c r="T96" s="686"/>
      <c r="U96" s="686"/>
      <c r="V96" s="686">
        <v>0.07431733154869646</v>
      </c>
      <c r="W96" s="686"/>
      <c r="X96" s="688">
        <v>2.1068591907397702</v>
      </c>
      <c r="Y96" s="301">
        <v>1.2026999999999999</v>
      </c>
      <c r="Z96" s="888" t="e">
        <f>Fruit!#REF!/Fruit!B16</f>
        <v>#REF!</v>
      </c>
      <c r="AA96" s="878"/>
      <c r="AB96" s="984"/>
    </row>
    <row r="97" spans="1:28" s="33" customFormat="1" ht="12.75">
      <c r="A97" s="46" t="s">
        <v>852</v>
      </c>
      <c r="B97" s="686">
        <v>2.2661885671413966</v>
      </c>
      <c r="C97" s="686"/>
      <c r="D97" s="686">
        <v>0</v>
      </c>
      <c r="E97" s="686"/>
      <c r="F97" s="686">
        <v>2.2661885671413966</v>
      </c>
      <c r="G97" s="686"/>
      <c r="H97" s="686">
        <v>6</v>
      </c>
      <c r="I97" s="686"/>
      <c r="J97" s="686">
        <v>2.130217253112913</v>
      </c>
      <c r="K97" s="686"/>
      <c r="L97" s="686">
        <v>0</v>
      </c>
      <c r="M97" s="686"/>
      <c r="N97" s="686">
        <v>9</v>
      </c>
      <c r="O97" s="686"/>
      <c r="P97" s="906">
        <f>0.01*14.46</f>
        <v>0.1446</v>
      </c>
      <c r="Q97" s="686"/>
      <c r="R97" s="686">
        <v>1.9384977003327506</v>
      </c>
      <c r="S97" s="686"/>
      <c r="T97" s="686"/>
      <c r="U97" s="686"/>
      <c r="V97" s="686">
        <v>0.08497524165842195</v>
      </c>
      <c r="W97" s="686"/>
      <c r="X97" s="688">
        <v>2.409005613395433</v>
      </c>
      <c r="Y97" s="301">
        <v>0.6989</v>
      </c>
      <c r="Z97" s="888" t="e">
        <f>Fruit!#REF!/Fruit!B16</f>
        <v>#REF!</v>
      </c>
      <c r="AA97" s="878"/>
      <c r="AB97" s="984"/>
    </row>
    <row r="98" spans="1:28" s="33" customFormat="1" ht="12.75">
      <c r="A98" s="46" t="s">
        <v>853</v>
      </c>
      <c r="B98" s="216">
        <v>0.022378169931200894</v>
      </c>
      <c r="C98" s="686"/>
      <c r="D98" s="686">
        <v>84.15213946117274</v>
      </c>
      <c r="E98" s="686"/>
      <c r="F98" s="686">
        <v>0.0035464611618384947</v>
      </c>
      <c r="G98" s="686"/>
      <c r="H98" s="686">
        <v>6</v>
      </c>
      <c r="I98" s="686"/>
      <c r="J98" s="686">
        <v>0.0033336734921281855</v>
      </c>
      <c r="K98" s="686"/>
      <c r="L98" s="686">
        <v>0</v>
      </c>
      <c r="M98" s="686"/>
      <c r="N98" s="686">
        <v>11</v>
      </c>
      <c r="O98" s="686"/>
      <c r="P98" s="906">
        <f>0.01*86.7416798732171</f>
        <v>0.8674167987321709</v>
      </c>
      <c r="Q98" s="686"/>
      <c r="R98" s="686">
        <v>0.0029669694079940846</v>
      </c>
      <c r="S98" s="686"/>
      <c r="T98" s="686"/>
      <c r="U98" s="686"/>
      <c r="V98" s="686">
        <v>0.00013005893295316536</v>
      </c>
      <c r="W98" s="686"/>
      <c r="X98" s="688">
        <v>0.0036871057197557606</v>
      </c>
      <c r="Y98" s="301">
        <v>0</v>
      </c>
      <c r="Z98" s="888" t="e">
        <f>Fruit!#REF!/Fruit!B16</f>
        <v>#REF!</v>
      </c>
      <c r="AA98" s="878"/>
      <c r="AB98" s="984"/>
    </row>
    <row r="99" spans="1:28" s="33" customFormat="1" ht="12.75">
      <c r="A99" s="46" t="s">
        <v>855</v>
      </c>
      <c r="B99" s="686">
        <v>6.695425976810474</v>
      </c>
      <c r="C99" s="686"/>
      <c r="D99" s="686">
        <v>8</v>
      </c>
      <c r="E99" s="686"/>
      <c r="F99" s="686">
        <v>6.1597918986656355</v>
      </c>
      <c r="G99" s="686"/>
      <c r="H99" s="686">
        <v>9.75397963734622</v>
      </c>
      <c r="I99" s="686"/>
      <c r="J99" s="686">
        <v>5.558967051166887</v>
      </c>
      <c r="K99" s="686"/>
      <c r="L99" s="686">
        <v>6</v>
      </c>
      <c r="M99" s="686"/>
      <c r="N99" s="686">
        <v>35</v>
      </c>
      <c r="O99" s="686"/>
      <c r="P99" s="906">
        <f>0.01*51.0144601471515</f>
        <v>0.5101446014715151</v>
      </c>
      <c r="Q99" s="686"/>
      <c r="R99" s="686">
        <v>3.279790560188463</v>
      </c>
      <c r="S99" s="686"/>
      <c r="T99" s="686"/>
      <c r="U99" s="686"/>
      <c r="V99" s="686">
        <v>0.14377164099456277</v>
      </c>
      <c r="W99" s="686"/>
      <c r="X99" s="688">
        <v>4.075854136375357</v>
      </c>
      <c r="Y99" s="301">
        <v>1.3056</v>
      </c>
      <c r="Z99" s="888" t="e">
        <f>Fruit!#REF!/Fruit!B17</f>
        <v>#REF!</v>
      </c>
      <c r="AA99" s="878"/>
      <c r="AB99" s="984"/>
    </row>
    <row r="100" spans="1:28" s="33" customFormat="1" ht="12.75">
      <c r="A100" s="46" t="s">
        <v>854</v>
      </c>
      <c r="B100" s="686">
        <v>0.3848996842875686</v>
      </c>
      <c r="C100" s="686"/>
      <c r="D100" s="686">
        <v>-12.35955056179776</v>
      </c>
      <c r="E100" s="686"/>
      <c r="F100" s="686">
        <v>0.4324715553792907</v>
      </c>
      <c r="G100" s="686"/>
      <c r="H100" s="686">
        <v>6</v>
      </c>
      <c r="I100" s="686"/>
      <c r="J100" s="686">
        <v>0.4065232620565332</v>
      </c>
      <c r="K100" s="686"/>
      <c r="L100" s="686">
        <v>0</v>
      </c>
      <c r="M100" s="686"/>
      <c r="N100" s="686">
        <v>24</v>
      </c>
      <c r="O100" s="686"/>
      <c r="P100" s="906">
        <f>0.01*19.7303370786517</f>
        <v>0.19730337078651702</v>
      </c>
      <c r="Q100" s="686"/>
      <c r="R100" s="686">
        <v>0.30895767916296524</v>
      </c>
      <c r="S100" s="686"/>
      <c r="T100" s="686"/>
      <c r="U100" s="686"/>
      <c r="V100" s="686">
        <v>0.013543350319472448</v>
      </c>
      <c r="W100" s="686"/>
      <c r="X100" s="688">
        <v>0.3839472098818842</v>
      </c>
      <c r="Y100" s="301">
        <v>0.133</v>
      </c>
      <c r="Z100" s="888" t="e">
        <f>Fruit!#REF!/Fruit!B17</f>
        <v>#REF!</v>
      </c>
      <c r="AA100" s="878"/>
      <c r="AB100" s="984"/>
    </row>
    <row r="101" spans="1:28" s="33" customFormat="1" ht="12.75">
      <c r="A101" s="46" t="s">
        <v>178</v>
      </c>
      <c r="B101" s="686">
        <v>15.110790557086522</v>
      </c>
      <c r="C101" s="686"/>
      <c r="D101" s="686">
        <v>10</v>
      </c>
      <c r="E101" s="686"/>
      <c r="F101" s="686">
        <v>13.599711501377874</v>
      </c>
      <c r="G101" s="686"/>
      <c r="H101" s="686">
        <v>16.777334931261265</v>
      </c>
      <c r="I101" s="686"/>
      <c r="J101" s="686">
        <v>11.318042353106446</v>
      </c>
      <c r="K101" s="686"/>
      <c r="L101" s="686">
        <v>48</v>
      </c>
      <c r="M101" s="686"/>
      <c r="N101" s="686">
        <v>13</v>
      </c>
      <c r="O101" s="686"/>
      <c r="P101" s="906">
        <f>0.01*70.7888445608727</f>
        <v>0.7078884456087271</v>
      </c>
      <c r="Q101" s="686"/>
      <c r="R101" s="686">
        <v>4.414036517711514</v>
      </c>
      <c r="S101" s="686"/>
      <c r="T101" s="686"/>
      <c r="U101" s="686"/>
      <c r="V101" s="686">
        <v>0.19349201173529926</v>
      </c>
      <c r="W101" s="686"/>
      <c r="X101" s="688">
        <v>5.485401786689866</v>
      </c>
      <c r="Y101" s="301">
        <v>1.6470000000000002</v>
      </c>
      <c r="Z101" s="888" t="e">
        <f>Fruit!#REF!/Fruit!B18</f>
        <v>#REF!</v>
      </c>
      <c r="AA101" s="879"/>
      <c r="AB101" s="984"/>
    </row>
    <row r="102" spans="1:28" s="33" customFormat="1" ht="12.75">
      <c r="A102" s="46" t="s">
        <v>856</v>
      </c>
      <c r="B102" s="216">
        <v>0.8919685861901602</v>
      </c>
      <c r="C102" s="686"/>
      <c r="D102" s="686">
        <v>5</v>
      </c>
      <c r="E102" s="686"/>
      <c r="F102" s="686">
        <v>0.8473701568806522</v>
      </c>
      <c r="G102" s="686"/>
      <c r="H102" s="686">
        <v>17.316554490124737</v>
      </c>
      <c r="I102" s="686"/>
      <c r="J102" s="686">
        <v>0.7006348419313587</v>
      </c>
      <c r="K102" s="686"/>
      <c r="L102" s="686">
        <v>6</v>
      </c>
      <c r="M102" s="686"/>
      <c r="N102" s="686">
        <v>27</v>
      </c>
      <c r="O102" s="686"/>
      <c r="P102" s="906">
        <f>0.01*47.3719869329644</f>
        <v>0.473719869329644</v>
      </c>
      <c r="Q102" s="686"/>
      <c r="R102" s="686">
        <v>0.4694253440940104</v>
      </c>
      <c r="S102" s="686"/>
      <c r="T102" s="686"/>
      <c r="U102" s="686"/>
      <c r="V102" s="686">
        <v>0.020577549330148402</v>
      </c>
      <c r="W102" s="686"/>
      <c r="X102" s="688">
        <v>0.583363234735042</v>
      </c>
      <c r="Y102" s="440">
        <v>0.2668</v>
      </c>
      <c r="Z102" s="891" t="s">
        <v>159</v>
      </c>
      <c r="AA102" s="1244"/>
      <c r="AB102" s="1245"/>
    </row>
    <row r="103" spans="1:28" s="33" customFormat="1" ht="12.75">
      <c r="A103" s="46" t="s">
        <v>857</v>
      </c>
      <c r="B103" s="686">
        <v>0.01897373213252912</v>
      </c>
      <c r="C103" s="686"/>
      <c r="D103" s="686">
        <v>33.774834437086085</v>
      </c>
      <c r="E103" s="686"/>
      <c r="F103" s="686">
        <v>0.012565385518231203</v>
      </c>
      <c r="G103" s="686"/>
      <c r="H103" s="686">
        <v>6</v>
      </c>
      <c r="I103" s="686"/>
      <c r="J103" s="686">
        <v>0.011811462387137333</v>
      </c>
      <c r="K103" s="686"/>
      <c r="L103" s="686">
        <v>0</v>
      </c>
      <c r="M103" s="686"/>
      <c r="N103" s="686">
        <v>26</v>
      </c>
      <c r="O103" s="686"/>
      <c r="P103" s="906">
        <f>0.01*53.9337748344371</f>
        <v>0.539337748344371</v>
      </c>
      <c r="Q103" s="686"/>
      <c r="R103" s="686">
        <v>0.008740482166481628</v>
      </c>
      <c r="S103" s="686"/>
      <c r="T103" s="686"/>
      <c r="U103" s="686"/>
      <c r="V103" s="686">
        <v>0.00038314442373618083</v>
      </c>
      <c r="W103" s="686"/>
      <c r="X103" s="688">
        <v>0.010861952840708858</v>
      </c>
      <c r="Y103" s="440">
        <v>0.004449474657639773</v>
      </c>
      <c r="Z103" s="891" t="s">
        <v>159</v>
      </c>
      <c r="AA103" s="1244"/>
      <c r="AB103" s="1245"/>
    </row>
    <row r="104" spans="1:28" s="33" customFormat="1" ht="12.75">
      <c r="A104" s="46" t="s">
        <v>858</v>
      </c>
      <c r="B104" s="686">
        <v>0.006749617064153645</v>
      </c>
      <c r="C104" s="686"/>
      <c r="D104" s="686">
        <v>15.254237288135588</v>
      </c>
      <c r="E104" s="686"/>
      <c r="F104" s="686">
        <v>0.0057200144611471585</v>
      </c>
      <c r="G104" s="686"/>
      <c r="H104" s="686">
        <v>6</v>
      </c>
      <c r="I104" s="686"/>
      <c r="J104" s="686">
        <v>0.005376813593478329</v>
      </c>
      <c r="K104" s="686"/>
      <c r="L104" s="686">
        <v>0</v>
      </c>
      <c r="M104" s="686"/>
      <c r="N104" s="686">
        <v>10</v>
      </c>
      <c r="O104" s="686"/>
      <c r="P104" s="906">
        <f>0.01*28.3050847457627</f>
        <v>0.283050847457627</v>
      </c>
      <c r="Q104" s="686"/>
      <c r="R104" s="686">
        <v>0.004839132234130496</v>
      </c>
      <c r="S104" s="686"/>
      <c r="T104" s="686"/>
      <c r="U104" s="686"/>
      <c r="V104" s="686">
        <v>0.00021212634450983</v>
      </c>
      <c r="W104" s="686"/>
      <c r="X104" s="688">
        <v>0.006013675803681424</v>
      </c>
      <c r="Y104" s="440">
        <v>0.002885173940494556</v>
      </c>
      <c r="Z104" s="891" t="s">
        <v>159</v>
      </c>
      <c r="AA104" s="884"/>
      <c r="AB104" s="1245"/>
    </row>
    <row r="105" spans="1:28" s="33" customFormat="1" ht="12.75">
      <c r="A105" s="46" t="s">
        <v>859</v>
      </c>
      <c r="B105" s="686">
        <v>0.798881255362385</v>
      </c>
      <c r="C105" s="686"/>
      <c r="D105" s="686">
        <v>61.53846153846153</v>
      </c>
      <c r="E105" s="686"/>
      <c r="F105" s="686">
        <v>0.307262021293225</v>
      </c>
      <c r="G105" s="686"/>
      <c r="H105" s="686">
        <v>6</v>
      </c>
      <c r="I105" s="686"/>
      <c r="J105" s="686">
        <v>0.28882630001563153</v>
      </c>
      <c r="K105" s="686"/>
      <c r="L105" s="686">
        <v>0</v>
      </c>
      <c r="M105" s="686"/>
      <c r="N105" s="686">
        <v>11</v>
      </c>
      <c r="O105" s="686"/>
      <c r="P105" s="906">
        <f>0.01*67.8230769230769</f>
        <v>0.678230769230769</v>
      </c>
      <c r="Q105" s="686"/>
      <c r="R105" s="686">
        <v>0.25705540701391205</v>
      </c>
      <c r="S105" s="686"/>
      <c r="T105" s="686"/>
      <c r="U105" s="686"/>
      <c r="V105" s="686">
        <v>0.011268182225267376</v>
      </c>
      <c r="W105" s="686"/>
      <c r="X105" s="688">
        <v>0.31944733199521747</v>
      </c>
      <c r="Y105" s="440">
        <v>0.768</v>
      </c>
      <c r="Z105" s="891" t="s">
        <v>159</v>
      </c>
      <c r="AA105" s="884"/>
      <c r="AB105" s="1245"/>
    </row>
    <row r="106" spans="1:28" s="33" customFormat="1" ht="12.75">
      <c r="A106" s="46" t="s">
        <v>860</v>
      </c>
      <c r="B106" s="216">
        <v>0.4611342914561038</v>
      </c>
      <c r="C106" s="686"/>
      <c r="D106" s="686">
        <v>27.69230769230769</v>
      </c>
      <c r="E106" s="686"/>
      <c r="F106" s="686">
        <v>0.3334355645913366</v>
      </c>
      <c r="G106" s="686"/>
      <c r="H106" s="686">
        <v>6</v>
      </c>
      <c r="I106" s="686"/>
      <c r="J106" s="686">
        <v>0.3134294307158564</v>
      </c>
      <c r="K106" s="686"/>
      <c r="L106" s="686">
        <v>0</v>
      </c>
      <c r="M106" s="686"/>
      <c r="N106" s="686">
        <v>32</v>
      </c>
      <c r="O106" s="686"/>
      <c r="P106" s="906">
        <f>0.01*53.7809230769231</f>
        <v>0.537809230769231</v>
      </c>
      <c r="Q106" s="686"/>
      <c r="R106" s="686">
        <v>0.21313201288678235</v>
      </c>
      <c r="S106" s="686"/>
      <c r="T106" s="686">
        <v>0.02267361839221089</v>
      </c>
      <c r="U106" s="686"/>
      <c r="V106" s="686">
        <v>0.009342773167639774</v>
      </c>
      <c r="W106" s="686"/>
      <c r="X106" s="688">
        <v>0.26486294791600373</v>
      </c>
      <c r="Y106" s="440">
        <v>0.18460000000000001</v>
      </c>
      <c r="Z106" s="891" t="s">
        <v>159</v>
      </c>
      <c r="AA106" s="884"/>
      <c r="AB106" s="1245"/>
    </row>
    <row r="107" spans="1:28" s="33" customFormat="1" ht="12.75">
      <c r="A107" s="46" t="s">
        <v>861</v>
      </c>
      <c r="B107" s="216">
        <v>0.12589850217026527</v>
      </c>
      <c r="C107" s="686"/>
      <c r="D107" s="686">
        <v>9</v>
      </c>
      <c r="E107" s="686"/>
      <c r="F107" s="686">
        <v>0.1145676369749414</v>
      </c>
      <c r="G107" s="686"/>
      <c r="H107" s="686">
        <v>35.05755274152872</v>
      </c>
      <c r="I107" s="686"/>
      <c r="J107" s="686">
        <v>0.07440302721772815</v>
      </c>
      <c r="K107" s="686"/>
      <c r="L107" s="686">
        <v>7</v>
      </c>
      <c r="M107" s="686"/>
      <c r="N107" s="686">
        <v>10</v>
      </c>
      <c r="O107" s="686"/>
      <c r="P107" s="906">
        <f>0.01*50.9489695856766</f>
        <v>0.5094896958567661</v>
      </c>
      <c r="Q107" s="686"/>
      <c r="R107" s="686">
        <v>0.061754512590714385</v>
      </c>
      <c r="S107" s="686"/>
      <c r="T107" s="686"/>
      <c r="U107" s="686"/>
      <c r="V107" s="686">
        <v>0.002707047127264192</v>
      </c>
      <c r="W107" s="686"/>
      <c r="X107" s="688">
        <v>0.07674343253437621</v>
      </c>
      <c r="Y107" s="440">
        <v>0.0384</v>
      </c>
      <c r="Z107" s="891" t="s">
        <v>159</v>
      </c>
      <c r="AA107" s="884"/>
      <c r="AB107" s="1245"/>
    </row>
    <row r="108" spans="1:28" s="33" customFormat="1" ht="12.75">
      <c r="A108" s="46" t="s">
        <v>862</v>
      </c>
      <c r="B108" s="686">
        <v>0.6232823420147374</v>
      </c>
      <c r="C108" s="686"/>
      <c r="D108" s="686">
        <v>82.01438848920863</v>
      </c>
      <c r="E108" s="686"/>
      <c r="F108" s="686">
        <v>0.1121011406501327</v>
      </c>
      <c r="G108" s="686"/>
      <c r="H108" s="686">
        <v>6</v>
      </c>
      <c r="I108" s="686"/>
      <c r="J108" s="686">
        <v>0.10537507221112474</v>
      </c>
      <c r="K108" s="686"/>
      <c r="L108" s="686">
        <v>0</v>
      </c>
      <c r="M108" s="686"/>
      <c r="N108" s="686">
        <v>11</v>
      </c>
      <c r="O108" s="686"/>
      <c r="P108" s="906">
        <f>0.01*84.9532374100719</f>
        <v>0.8495323741007191</v>
      </c>
      <c r="Q108" s="686"/>
      <c r="R108" s="686">
        <v>0.09378381426790101</v>
      </c>
      <c r="S108" s="686"/>
      <c r="T108" s="686"/>
      <c r="U108" s="686"/>
      <c r="V108" s="686">
        <v>0.004111071310373743</v>
      </c>
      <c r="W108" s="686"/>
      <c r="X108" s="688">
        <v>0.11654681611344042</v>
      </c>
      <c r="Y108" s="440">
        <v>0.2815053866124638</v>
      </c>
      <c r="Z108" s="891" t="s">
        <v>159</v>
      </c>
      <c r="AA108" s="884"/>
      <c r="AB108" s="1245"/>
    </row>
    <row r="109" spans="1:28" s="33" customFormat="1" ht="12.75">
      <c r="A109" s="46" t="s">
        <v>863</v>
      </c>
      <c r="B109" s="686">
        <v>0.1321211701136433</v>
      </c>
      <c r="C109" s="686"/>
      <c r="D109" s="686">
        <v>30.555555555555554</v>
      </c>
      <c r="E109" s="686"/>
      <c r="F109" s="686">
        <v>0.09175081257891896</v>
      </c>
      <c r="G109" s="686"/>
      <c r="H109" s="686">
        <v>6</v>
      </c>
      <c r="I109" s="686"/>
      <c r="J109" s="686">
        <v>0.08624576382418381</v>
      </c>
      <c r="K109" s="686"/>
      <c r="L109" s="686">
        <v>0</v>
      </c>
      <c r="M109" s="686"/>
      <c r="N109" s="686">
        <v>27</v>
      </c>
      <c r="O109" s="686"/>
      <c r="P109" s="906">
        <f>0.01*52.3472222222222</f>
        <v>0.523472222222222</v>
      </c>
      <c r="Q109" s="686"/>
      <c r="R109" s="686">
        <v>0.06295940759165417</v>
      </c>
      <c r="S109" s="686"/>
      <c r="T109" s="686"/>
      <c r="U109" s="686"/>
      <c r="V109" s="686">
        <v>0.002759864442373882</v>
      </c>
      <c r="W109" s="686"/>
      <c r="X109" s="688">
        <v>0.07824077700907836</v>
      </c>
      <c r="Y109" s="440">
        <v>0.0384</v>
      </c>
      <c r="Z109" s="891" t="s">
        <v>159</v>
      </c>
      <c r="AA109" s="884"/>
      <c r="AB109" s="1245"/>
    </row>
    <row r="110" spans="1:28" s="33" customFormat="1" ht="12.75">
      <c r="A110" s="46" t="s">
        <v>864</v>
      </c>
      <c r="B110" s="686">
        <v>0.7633288038034733</v>
      </c>
      <c r="C110" s="686"/>
      <c r="D110" s="686">
        <v>9.090909090909093</v>
      </c>
      <c r="E110" s="686"/>
      <c r="F110" s="686">
        <v>0.6939352761849756</v>
      </c>
      <c r="G110" s="686"/>
      <c r="H110" s="686">
        <v>6</v>
      </c>
      <c r="I110" s="686"/>
      <c r="J110" s="686">
        <v>0.6522991596138771</v>
      </c>
      <c r="K110" s="686"/>
      <c r="L110" s="686">
        <v>0</v>
      </c>
      <c r="M110" s="686"/>
      <c r="N110" s="686">
        <v>35</v>
      </c>
      <c r="O110" s="686"/>
      <c r="P110" s="906">
        <f>0.01*44.4545454545455</f>
        <v>0.444545454545455</v>
      </c>
      <c r="Q110" s="686"/>
      <c r="R110" s="686">
        <v>0.4239944537490201</v>
      </c>
      <c r="S110" s="686"/>
      <c r="T110" s="686"/>
      <c r="U110" s="686"/>
      <c r="V110" s="686">
        <v>0.018586058246532387</v>
      </c>
      <c r="W110" s="686"/>
      <c r="X110" s="688">
        <v>0.5269054582600698</v>
      </c>
      <c r="Y110" s="440">
        <v>0.5194000000000001</v>
      </c>
      <c r="Z110" s="891" t="s">
        <v>159</v>
      </c>
      <c r="AA110" s="1244"/>
      <c r="AB110" s="1245"/>
    </row>
    <row r="111" spans="1:28" s="33" customFormat="1" ht="12.75">
      <c r="A111" s="46" t="s">
        <v>557</v>
      </c>
      <c r="B111" s="686">
        <v>0.0909637550580846</v>
      </c>
      <c r="C111" s="686"/>
      <c r="D111" s="686">
        <v>0</v>
      </c>
      <c r="E111" s="686"/>
      <c r="F111" s="686">
        <v>0.0909637550580846</v>
      </c>
      <c r="G111" s="686"/>
      <c r="H111" s="686">
        <v>6</v>
      </c>
      <c r="I111" s="686"/>
      <c r="J111" s="686">
        <v>0.08550592975459952</v>
      </c>
      <c r="K111" s="686"/>
      <c r="L111" s="686">
        <v>0</v>
      </c>
      <c r="M111" s="686"/>
      <c r="N111" s="686">
        <v>40</v>
      </c>
      <c r="O111" s="686"/>
      <c r="P111" s="906">
        <f>0.01*43.6</f>
        <v>0.436</v>
      </c>
      <c r="Q111" s="686"/>
      <c r="R111" s="686">
        <v>0.05130355785275971</v>
      </c>
      <c r="S111" s="686"/>
      <c r="T111" s="686"/>
      <c r="U111" s="686"/>
      <c r="V111" s="686">
        <v>0.0022489230839565903</v>
      </c>
      <c r="W111" s="686"/>
      <c r="X111" s="688">
        <v>0.06375584496862734</v>
      </c>
      <c r="Y111" s="440">
        <v>0.0258</v>
      </c>
      <c r="Z111" s="891" t="s">
        <v>159</v>
      </c>
      <c r="AA111" s="1244"/>
      <c r="AB111" s="1245"/>
    </row>
    <row r="112" spans="1:28" s="33" customFormat="1" ht="12.75">
      <c r="A112" s="46" t="s">
        <v>558</v>
      </c>
      <c r="B112" s="686">
        <v>9.072462757556593</v>
      </c>
      <c r="C112" s="686"/>
      <c r="D112" s="686">
        <v>8</v>
      </c>
      <c r="E112" s="686"/>
      <c r="F112" s="686">
        <v>8.346665736952065</v>
      </c>
      <c r="G112" s="686"/>
      <c r="H112" s="686">
        <v>12.198975570771644</v>
      </c>
      <c r="I112" s="686"/>
      <c r="J112" s="686">
        <v>7.3284580227273155</v>
      </c>
      <c r="K112" s="686"/>
      <c r="L112" s="686">
        <v>49</v>
      </c>
      <c r="M112" s="686"/>
      <c r="N112" s="686">
        <v>43</v>
      </c>
      <c r="O112" s="686"/>
      <c r="P112" s="906">
        <f>0.01*93.5378446020088</f>
        <v>0.935378446020088</v>
      </c>
      <c r="Q112" s="686"/>
      <c r="R112" s="686">
        <v>0.5862766418181853</v>
      </c>
      <c r="S112" s="686"/>
      <c r="T112" s="686"/>
      <c r="U112" s="686"/>
      <c r="V112" s="686">
        <v>0.025699797997509495</v>
      </c>
      <c r="W112" s="686"/>
      <c r="X112" s="688">
        <v>0.7285764233303953</v>
      </c>
      <c r="Y112" s="440">
        <v>0.2482</v>
      </c>
      <c r="Z112" s="891" t="s">
        <v>159</v>
      </c>
      <c r="AA112" s="884"/>
      <c r="AB112" s="1245"/>
    </row>
    <row r="113" spans="1:28" ht="12.75">
      <c r="A113" s="13" t="s">
        <v>865</v>
      </c>
      <c r="B113" s="49">
        <v>1.2353887991317893</v>
      </c>
      <c r="C113" s="49"/>
      <c r="D113" s="49">
        <v>8</v>
      </c>
      <c r="E113" s="49"/>
      <c r="F113" s="49">
        <v>1.1365576952012464</v>
      </c>
      <c r="G113" s="49"/>
      <c r="H113" s="49">
        <v>3.8721252909784467</v>
      </c>
      <c r="I113" s="49"/>
      <c r="J113" s="49">
        <v>1.092548757238797</v>
      </c>
      <c r="K113" s="49"/>
      <c r="L113" s="49">
        <v>9</v>
      </c>
      <c r="M113" s="49"/>
      <c r="N113" s="49">
        <v>51</v>
      </c>
      <c r="O113" s="49"/>
      <c r="P113" s="907">
        <f>0.01*64.6249421070801</f>
        <v>0.6462494210708011</v>
      </c>
      <c r="Q113" s="49"/>
      <c r="R113" s="49">
        <v>0.43701950289551883</v>
      </c>
      <c r="S113" s="49"/>
      <c r="T113" s="49"/>
      <c r="U113" s="49"/>
      <c r="V113" s="49">
        <v>0.019157019305009047</v>
      </c>
      <c r="W113" s="49"/>
      <c r="X113" s="51">
        <v>0.543091918787354</v>
      </c>
      <c r="Y113" s="440">
        <v>0.34020000000000006</v>
      </c>
      <c r="Z113" s="593" t="s">
        <v>159</v>
      </c>
      <c r="AA113" s="1244"/>
      <c r="AB113" s="1245"/>
    </row>
    <row r="114" spans="1:28" ht="12.75">
      <c r="A114" s="13" t="s">
        <v>866</v>
      </c>
      <c r="B114" s="49">
        <v>0.01503444443693835</v>
      </c>
      <c r="C114" s="49"/>
      <c r="D114" s="49">
        <v>16.317991631799167</v>
      </c>
      <c r="E114" s="49"/>
      <c r="F114" s="49">
        <v>0.012581125051831255</v>
      </c>
      <c r="G114" s="49"/>
      <c r="H114" s="49">
        <v>6</v>
      </c>
      <c r="I114" s="49"/>
      <c r="J114" s="49">
        <v>0.011826257548721379</v>
      </c>
      <c r="K114" s="49"/>
      <c r="L114" s="49">
        <v>0</v>
      </c>
      <c r="M114" s="49"/>
      <c r="N114" s="49">
        <v>32</v>
      </c>
      <c r="O114" s="49"/>
      <c r="P114" s="907">
        <f>0.01*46.510460251046</f>
        <v>0.46510460251046</v>
      </c>
      <c r="Q114" s="49"/>
      <c r="R114" s="49">
        <v>0.008041855133130538</v>
      </c>
      <c r="S114" s="49"/>
      <c r="T114" s="49"/>
      <c r="U114" s="49"/>
      <c r="V114" s="49">
        <v>0.0003525196770687359</v>
      </c>
      <c r="W114" s="49"/>
      <c r="X114" s="51">
        <v>0.009993756585060127</v>
      </c>
      <c r="Y114" s="301">
        <v>0.005566666666666667</v>
      </c>
      <c r="Z114" s="593" t="s">
        <v>159</v>
      </c>
      <c r="AA114" s="1244"/>
      <c r="AB114" s="1245"/>
    </row>
    <row r="115" spans="1:28" ht="12.75">
      <c r="A115" s="13" t="s">
        <v>867</v>
      </c>
      <c r="B115" s="49">
        <v>0.11853450657624862</v>
      </c>
      <c r="C115" s="49"/>
      <c r="D115" s="49">
        <v>4.999999999999993</v>
      </c>
      <c r="E115" s="49"/>
      <c r="F115" s="49">
        <v>0.1126077812474362</v>
      </c>
      <c r="G115" s="49"/>
      <c r="H115" s="49">
        <v>6</v>
      </c>
      <c r="I115" s="49"/>
      <c r="J115" s="49">
        <v>0.10585131437259003</v>
      </c>
      <c r="K115" s="49"/>
      <c r="L115" s="49">
        <v>0</v>
      </c>
      <c r="M115" s="49"/>
      <c r="N115" s="49">
        <v>32</v>
      </c>
      <c r="O115" s="49"/>
      <c r="P115" s="907">
        <f>0.01*39.276</f>
        <v>0.39276000000000005</v>
      </c>
      <c r="Q115" s="49"/>
      <c r="R115" s="49">
        <v>0.07197889377336122</v>
      </c>
      <c r="S115" s="49"/>
      <c r="T115" s="49"/>
      <c r="U115" s="49"/>
      <c r="V115" s="49">
        <v>0.0031552391791062452</v>
      </c>
      <c r="W115" s="49"/>
      <c r="X115" s="51">
        <v>0.08944945310807251</v>
      </c>
      <c r="Y115" s="301">
        <v>0.0675</v>
      </c>
      <c r="Z115" s="593" t="s">
        <v>159</v>
      </c>
      <c r="AA115" s="1244"/>
      <c r="AB115" s="1245"/>
    </row>
    <row r="116" spans="1:28" ht="12.75">
      <c r="A116" s="13" t="s">
        <v>868</v>
      </c>
      <c r="B116" s="49">
        <v>0.2115060595952162</v>
      </c>
      <c r="C116" s="49"/>
      <c r="D116" s="49">
        <v>15.254237288135588</v>
      </c>
      <c r="E116" s="49"/>
      <c r="F116" s="49">
        <v>0.17924242338577642</v>
      </c>
      <c r="G116" s="49"/>
      <c r="H116" s="49">
        <v>6</v>
      </c>
      <c r="I116" s="49"/>
      <c r="J116" s="49">
        <v>0.16848787798262985</v>
      </c>
      <c r="K116" s="49"/>
      <c r="L116" s="49">
        <v>0</v>
      </c>
      <c r="M116" s="49"/>
      <c r="N116" s="49">
        <v>29</v>
      </c>
      <c r="O116" s="49"/>
      <c r="P116" s="907">
        <f>0.01*43.4406779661017</f>
        <v>0.43440677966101704</v>
      </c>
      <c r="Q116" s="49"/>
      <c r="R116" s="49">
        <v>0.1196263933676672</v>
      </c>
      <c r="S116" s="49"/>
      <c r="T116" s="49"/>
      <c r="U116" s="49"/>
      <c r="V116" s="49">
        <v>0.005243896695568974</v>
      </c>
      <c r="W116" s="49"/>
      <c r="X116" s="51">
        <v>0.1486618493710326</v>
      </c>
      <c r="Y116" s="301">
        <v>0.1335</v>
      </c>
      <c r="Z116" s="593" t="s">
        <v>159</v>
      </c>
      <c r="AA116" s="884"/>
      <c r="AB116" s="1245"/>
    </row>
    <row r="117" spans="1:28" ht="12.75">
      <c r="A117" s="13" t="s">
        <v>869</v>
      </c>
      <c r="B117" s="49">
        <v>0.5518227442082572</v>
      </c>
      <c r="C117" s="49"/>
      <c r="D117" s="49">
        <v>9.90990990990992</v>
      </c>
      <c r="E117" s="49"/>
      <c r="F117" s="49">
        <v>0.4971376073948262</v>
      </c>
      <c r="G117" s="49"/>
      <c r="H117" s="49">
        <v>6</v>
      </c>
      <c r="I117" s="49"/>
      <c r="J117" s="49">
        <v>0.4673093509511366</v>
      </c>
      <c r="K117" s="49"/>
      <c r="L117" s="49">
        <v>0</v>
      </c>
      <c r="M117" s="49"/>
      <c r="N117" s="49">
        <v>29</v>
      </c>
      <c r="O117" s="49"/>
      <c r="P117" s="907">
        <f>0.01*39.8738738738739</f>
        <v>0.398738738738739</v>
      </c>
      <c r="Q117" s="49"/>
      <c r="R117" s="49">
        <v>0.33178963917530696</v>
      </c>
      <c r="S117" s="49"/>
      <c r="T117" s="49"/>
      <c r="U117" s="49"/>
      <c r="V117" s="49">
        <v>0.014544203361109348</v>
      </c>
      <c r="W117" s="49"/>
      <c r="X117" s="51">
        <v>0.4123208931857694</v>
      </c>
      <c r="Y117" s="301">
        <v>0.1886</v>
      </c>
      <c r="Z117" s="593" t="s">
        <v>159</v>
      </c>
      <c r="AA117" s="1244"/>
      <c r="AB117" s="1245"/>
    </row>
    <row r="118" spans="1:28" ht="12.75">
      <c r="A118" s="13" t="s">
        <v>564</v>
      </c>
      <c r="B118" s="49">
        <v>0.058353379488455114</v>
      </c>
      <c r="C118" s="49"/>
      <c r="D118" s="49">
        <v>12.280701754385959</v>
      </c>
      <c r="E118" s="49"/>
      <c r="F118" s="49">
        <v>0.05118717498987291</v>
      </c>
      <c r="G118" s="49"/>
      <c r="H118" s="49">
        <v>6</v>
      </c>
      <c r="I118" s="49"/>
      <c r="J118" s="49">
        <v>0.048115944490480546</v>
      </c>
      <c r="K118" s="49"/>
      <c r="L118" s="49">
        <v>0</v>
      </c>
      <c r="M118" s="49"/>
      <c r="N118" s="49">
        <v>30</v>
      </c>
      <c r="O118" s="49"/>
      <c r="P118" s="907">
        <f>0.01*42.280701754386</f>
        <v>0.42280701754386</v>
      </c>
      <c r="Q118" s="49"/>
      <c r="R118" s="49">
        <v>0.03368116114333638</v>
      </c>
      <c r="S118" s="49"/>
      <c r="T118" s="49"/>
      <c r="U118" s="49"/>
      <c r="V118" s="49">
        <v>0.001476434461077759</v>
      </c>
      <c r="W118" s="49"/>
      <c r="X118" s="51">
        <v>0.041856178754323924</v>
      </c>
      <c r="Y118" s="301">
        <v>0.022266666666666667</v>
      </c>
      <c r="Z118" s="593" t="s">
        <v>159</v>
      </c>
      <c r="AA118" s="1244"/>
      <c r="AB118" s="1245"/>
    </row>
    <row r="119" spans="1:28" ht="12.75">
      <c r="A119" s="13" t="s">
        <v>565</v>
      </c>
      <c r="B119" s="49">
        <v>1.6981286356019467</v>
      </c>
      <c r="C119" s="49"/>
      <c r="D119" s="49">
        <v>8</v>
      </c>
      <c r="E119" s="49"/>
      <c r="F119" s="49">
        <v>1.5622783447537905</v>
      </c>
      <c r="G119" s="49"/>
      <c r="H119" s="49">
        <v>22.76092400035521</v>
      </c>
      <c r="I119" s="49"/>
      <c r="J119" s="49">
        <v>1.2066893580303728</v>
      </c>
      <c r="K119" s="49"/>
      <c r="L119" s="49">
        <v>54</v>
      </c>
      <c r="M119" s="49"/>
      <c r="N119" s="49">
        <v>43</v>
      </c>
      <c r="O119" s="49"/>
      <c r="P119" s="907">
        <f>0.01*97.8682015024098</f>
        <v>0.978682015024098</v>
      </c>
      <c r="Q119" s="49"/>
      <c r="R119" s="49">
        <v>0.03620068074091125</v>
      </c>
      <c r="S119" s="49"/>
      <c r="T119" s="49"/>
      <c r="U119" s="49"/>
      <c r="V119" s="49">
        <v>0.0015868791557659728</v>
      </c>
      <c r="W119" s="49"/>
      <c r="X119" s="51">
        <v>0.044987230626387445</v>
      </c>
      <c r="Y119" s="301">
        <v>0.0144</v>
      </c>
      <c r="Z119" s="593" t="s">
        <v>159</v>
      </c>
      <c r="AA119" s="884"/>
      <c r="AB119" s="1245"/>
    </row>
    <row r="120" spans="1:28" ht="12.75">
      <c r="A120" s="13" t="s">
        <v>870</v>
      </c>
      <c r="B120" s="49">
        <v>0.21052285938237514</v>
      </c>
      <c r="C120" s="49"/>
      <c r="D120" s="49">
        <v>8</v>
      </c>
      <c r="E120" s="49"/>
      <c r="F120" s="49">
        <v>0.19368103063178516</v>
      </c>
      <c r="G120" s="49"/>
      <c r="H120" s="49">
        <v>9.753979637346216</v>
      </c>
      <c r="I120" s="49"/>
      <c r="J120" s="49">
        <v>0.17478942234255856</v>
      </c>
      <c r="K120" s="49"/>
      <c r="L120" s="49">
        <v>4</v>
      </c>
      <c r="M120" s="49"/>
      <c r="N120" s="49">
        <v>20</v>
      </c>
      <c r="O120" s="49"/>
      <c r="P120" s="907">
        <f>0.01*36.8999825624325</f>
        <v>0.368999825624325</v>
      </c>
      <c r="Q120" s="49"/>
      <c r="R120" s="49">
        <v>0.1328399609803445</v>
      </c>
      <c r="S120" s="49"/>
      <c r="T120" s="49"/>
      <c r="U120" s="49"/>
      <c r="V120" s="49">
        <v>0.00582312157722058</v>
      </c>
      <c r="W120" s="49"/>
      <c r="X120" s="51">
        <v>0.16508258515341484</v>
      </c>
      <c r="Y120" s="301">
        <v>0.2028</v>
      </c>
      <c r="Z120" s="593" t="s">
        <v>159</v>
      </c>
      <c r="AA120" s="884"/>
      <c r="AB120" s="1245"/>
    </row>
    <row r="121" spans="1:26" ht="12.75">
      <c r="A121" s="13" t="s">
        <v>871</v>
      </c>
      <c r="B121" s="49">
        <v>0.45534300810047873</v>
      </c>
      <c r="C121" s="49"/>
      <c r="D121" s="49">
        <v>4.761904761904767</v>
      </c>
      <c r="E121" s="49"/>
      <c r="F121" s="49">
        <v>0.4336600077147417</v>
      </c>
      <c r="G121" s="49"/>
      <c r="H121" s="49">
        <v>6</v>
      </c>
      <c r="I121" s="49"/>
      <c r="J121" s="49">
        <v>0.4076404072518572</v>
      </c>
      <c r="K121" s="49"/>
      <c r="L121" s="49">
        <v>0</v>
      </c>
      <c r="M121" s="49"/>
      <c r="N121" s="49">
        <v>24</v>
      </c>
      <c r="O121" s="49"/>
      <c r="P121" s="907">
        <f>0.01*31.9619047619048</f>
        <v>0.319619047619048</v>
      </c>
      <c r="Q121" s="49"/>
      <c r="R121" s="49">
        <v>0.3098067095114115</v>
      </c>
      <c r="S121" s="49"/>
      <c r="T121" s="49"/>
      <c r="U121" s="49"/>
      <c r="V121" s="49">
        <v>0.013580568088171463</v>
      </c>
      <c r="W121" s="49"/>
      <c r="X121" s="51">
        <v>0.3850023150156168</v>
      </c>
      <c r="Y121" s="301">
        <v>0.1751</v>
      </c>
      <c r="Z121" s="593" t="s">
        <v>159</v>
      </c>
    </row>
    <row r="122" spans="1:27" ht="12.75">
      <c r="A122" s="13" t="s">
        <v>872</v>
      </c>
      <c r="B122" s="49">
        <v>9.276666051914415</v>
      </c>
      <c r="C122" s="49"/>
      <c r="D122" s="49">
        <v>3</v>
      </c>
      <c r="E122" s="49"/>
      <c r="F122" s="49">
        <v>8.998366070356983</v>
      </c>
      <c r="G122" s="49"/>
      <c r="H122" s="49">
        <v>11.569651802974827</v>
      </c>
      <c r="I122" s="49"/>
      <c r="J122" s="49">
        <v>7.957286448059652</v>
      </c>
      <c r="K122" s="49"/>
      <c r="L122" s="49">
        <v>27</v>
      </c>
      <c r="M122" s="49"/>
      <c r="N122" s="49">
        <v>36</v>
      </c>
      <c r="O122" s="49"/>
      <c r="P122" s="907">
        <f>0.01*68.2623480320877</f>
        <v>0.682623480320877</v>
      </c>
      <c r="Q122" s="49"/>
      <c r="R122" s="49">
        <v>2.944195985782071</v>
      </c>
      <c r="S122" s="49"/>
      <c r="T122" s="49"/>
      <c r="U122" s="49"/>
      <c r="V122" s="49">
        <v>0.1290606459520908</v>
      </c>
      <c r="W122" s="49"/>
      <c r="X122" s="51">
        <v>3.658804782418798</v>
      </c>
      <c r="Y122" s="301">
        <v>1.7202000000000002</v>
      </c>
      <c r="Z122" s="590" t="e">
        <f>Fruit!#REF!/Fruit!B22</f>
        <v>#REF!</v>
      </c>
      <c r="AA122" s="882"/>
    </row>
    <row r="123" spans="1:27" ht="12.75">
      <c r="A123" s="13" t="s">
        <v>873</v>
      </c>
      <c r="B123" s="49">
        <v>56.996628244499504</v>
      </c>
      <c r="C123" s="49"/>
      <c r="D123" s="49">
        <v>35.4479055826456</v>
      </c>
      <c r="E123" s="49"/>
      <c r="F123" s="49">
        <v>36.77153684171021</v>
      </c>
      <c r="G123" s="49"/>
      <c r="H123" s="49">
        <v>6</v>
      </c>
      <c r="I123" s="49"/>
      <c r="J123" s="49">
        <v>34.56524463120759</v>
      </c>
      <c r="K123" s="49"/>
      <c r="L123" s="49">
        <v>0</v>
      </c>
      <c r="M123" s="49"/>
      <c r="N123" s="49">
        <v>10</v>
      </c>
      <c r="O123" s="49"/>
      <c r="P123" s="907">
        <f>0.01*45.3889281229182</f>
        <v>0.45388928122918204</v>
      </c>
      <c r="Q123" s="49"/>
      <c r="R123" s="49">
        <v>31.108720168086837</v>
      </c>
      <c r="S123" s="49"/>
      <c r="T123" s="49">
        <v>3.5757149618490613</v>
      </c>
      <c r="U123" s="49"/>
      <c r="V123" s="49">
        <v>1.3636699251764093</v>
      </c>
      <c r="W123" s="49"/>
      <c r="X123" s="51">
        <v>38.65936054378861</v>
      </c>
      <c r="Y123" s="301">
        <v>18.165241701298264</v>
      </c>
      <c r="Z123" s="590" t="e">
        <f>Fruit!#REF!/Fruit!B22</f>
        <v>#REF!</v>
      </c>
      <c r="AA123" s="880"/>
    </row>
    <row r="124" spans="1:27" ht="12.75">
      <c r="A124" s="13" t="s">
        <v>874</v>
      </c>
      <c r="B124" s="49">
        <v>24.74285285156528</v>
      </c>
      <c r="C124" s="49"/>
      <c r="D124" s="49">
        <v>0</v>
      </c>
      <c r="E124" s="49"/>
      <c r="F124" s="49">
        <v>24.74285285156528</v>
      </c>
      <c r="G124" s="49"/>
      <c r="H124" s="49">
        <v>7.966253243459346</v>
      </c>
      <c r="I124" s="49"/>
      <c r="J124" s="49">
        <v>22.771774533753092</v>
      </c>
      <c r="K124" s="49"/>
      <c r="L124" s="49">
        <v>36</v>
      </c>
      <c r="M124" s="49"/>
      <c r="N124" s="49">
        <v>20</v>
      </c>
      <c r="O124" s="49"/>
      <c r="P124" s="907">
        <f>0.01*59.5051514271221</f>
        <v>0.595051514271221</v>
      </c>
      <c r="Q124" s="49"/>
      <c r="R124" s="49">
        <v>10.019580794851361</v>
      </c>
      <c r="S124" s="49"/>
      <c r="T124" s="49"/>
      <c r="U124" s="49"/>
      <c r="V124" s="49">
        <v>0.43921450059622397</v>
      </c>
      <c r="W124" s="49"/>
      <c r="X124" s="51">
        <v>12.45151148465265</v>
      </c>
      <c r="Y124" s="301">
        <v>11.094616002350762</v>
      </c>
      <c r="Z124" s="590" t="e">
        <f>Fruit!#REF!/Fruit!B23</f>
        <v>#REF!</v>
      </c>
      <c r="AA124" s="882"/>
    </row>
    <row r="125" spans="1:27" ht="12.75">
      <c r="A125" s="13" t="s">
        <v>875</v>
      </c>
      <c r="B125" s="49">
        <v>5.215560112822481</v>
      </c>
      <c r="C125" s="49"/>
      <c r="D125" s="49">
        <v>5</v>
      </c>
      <c r="E125" s="49"/>
      <c r="F125" s="49">
        <v>4.954782107181357</v>
      </c>
      <c r="G125" s="49"/>
      <c r="H125" s="49">
        <v>14.629115889840037</v>
      </c>
      <c r="I125" s="49"/>
      <c r="J125" s="49">
        <v>4.2299412906327385</v>
      </c>
      <c r="K125" s="49"/>
      <c r="L125" s="49">
        <v>49</v>
      </c>
      <c r="M125" s="49"/>
      <c r="N125" s="49">
        <v>37</v>
      </c>
      <c r="O125" s="49"/>
      <c r="P125" s="907">
        <f>0.01*88.6456724133487</f>
        <v>0.8864567241334871</v>
      </c>
      <c r="Q125" s="49"/>
      <c r="R125" s="49">
        <v>0.5921917806885834</v>
      </c>
      <c r="S125" s="49"/>
      <c r="T125" s="49"/>
      <c r="U125" s="49"/>
      <c r="V125" s="49">
        <v>0.02595909175621187</v>
      </c>
      <c r="W125" s="49"/>
      <c r="X125" s="51">
        <v>0.7359272717427284</v>
      </c>
      <c r="Y125" s="301">
        <v>0.36573355322971957</v>
      </c>
      <c r="Z125" s="590" t="e">
        <f>Fruit!#REF!/Fruit!B24</f>
        <v>#REF!</v>
      </c>
      <c r="AA125" s="882"/>
    </row>
    <row r="126" spans="1:27" ht="12.75">
      <c r="A126" s="13" t="s">
        <v>876</v>
      </c>
      <c r="B126" s="49">
        <v>4.297004329456838</v>
      </c>
      <c r="C126" s="49"/>
      <c r="D126" s="49">
        <v>41.48624926857812</v>
      </c>
      <c r="E126" s="49"/>
      <c r="F126" s="49">
        <v>2.5143384022567803</v>
      </c>
      <c r="G126" s="49"/>
      <c r="H126" s="49">
        <v>6</v>
      </c>
      <c r="I126" s="49"/>
      <c r="J126" s="49">
        <v>2.3634780981213734</v>
      </c>
      <c r="K126" s="49"/>
      <c r="L126" s="49">
        <v>0</v>
      </c>
      <c r="M126" s="49"/>
      <c r="N126" s="49">
        <v>9</v>
      </c>
      <c r="O126" s="49"/>
      <c r="P126" s="907">
        <f>0.01*49.9473376243417</f>
        <v>0.499473376243417</v>
      </c>
      <c r="Q126" s="49"/>
      <c r="R126" s="49">
        <v>2.1507650692904496</v>
      </c>
      <c r="S126" s="49"/>
      <c r="T126" s="49"/>
      <c r="U126" s="49"/>
      <c r="V126" s="49">
        <v>0.09428011262643068</v>
      </c>
      <c r="W126" s="49"/>
      <c r="X126" s="51">
        <v>2.6727940529029963</v>
      </c>
      <c r="Y126" s="301">
        <v>0.8543999999999999</v>
      </c>
      <c r="Z126" s="590" t="e">
        <f>Fruit!#REF!/Fruit!B24</f>
        <v>#REF!</v>
      </c>
      <c r="AA126" s="879"/>
    </row>
    <row r="127" spans="1:27" ht="12.75">
      <c r="A127" s="13" t="s">
        <v>877</v>
      </c>
      <c r="B127" s="49">
        <v>3.703414644858474</v>
      </c>
      <c r="C127" s="49"/>
      <c r="D127" s="49">
        <v>41.33333333333332</v>
      </c>
      <c r="E127" s="49"/>
      <c r="F127" s="49">
        <v>2.1726699249836385</v>
      </c>
      <c r="G127" s="49"/>
      <c r="H127" s="49">
        <v>6</v>
      </c>
      <c r="I127" s="49"/>
      <c r="J127" s="49">
        <v>2.04230972948462</v>
      </c>
      <c r="K127" s="49"/>
      <c r="L127" s="49">
        <v>0</v>
      </c>
      <c r="M127" s="49"/>
      <c r="N127" s="49">
        <v>10</v>
      </c>
      <c r="O127" s="49"/>
      <c r="P127" s="907">
        <f>0.01*50.368</f>
        <v>0.50368</v>
      </c>
      <c r="Q127" s="49"/>
      <c r="R127" s="49">
        <v>1.838078756536158</v>
      </c>
      <c r="S127" s="49"/>
      <c r="T127" s="49">
        <v>0.20887258597001793</v>
      </c>
      <c r="U127" s="49"/>
      <c r="V127" s="49">
        <v>0.08057331535500967</v>
      </c>
      <c r="W127" s="49"/>
      <c r="X127" s="51">
        <v>2.2842132036568463</v>
      </c>
      <c r="Y127" s="301">
        <v>1.1856</v>
      </c>
      <c r="Z127" s="590" t="e">
        <f>Fruit!#REF!/Fruit!B24</f>
        <v>#REF!</v>
      </c>
      <c r="AA127" s="879"/>
    </row>
    <row r="128" spans="1:27" ht="12.75">
      <c r="A128" s="13" t="s">
        <v>878</v>
      </c>
      <c r="B128" s="372">
        <v>6.719687625688763</v>
      </c>
      <c r="C128" s="49"/>
      <c r="D128" s="49">
        <v>79.44912136773496</v>
      </c>
      <c r="E128" s="49"/>
      <c r="F128" s="49">
        <v>1.38095484842263</v>
      </c>
      <c r="G128" s="49"/>
      <c r="H128" s="49">
        <v>6</v>
      </c>
      <c r="I128" s="49"/>
      <c r="J128" s="49">
        <v>1.2980975575172722</v>
      </c>
      <c r="K128" s="49"/>
      <c r="L128" s="49">
        <v>0</v>
      </c>
      <c r="M128" s="49"/>
      <c r="N128" s="49">
        <v>26</v>
      </c>
      <c r="O128" s="49"/>
      <c r="P128" s="907">
        <f>0.01*85.7048088233964</f>
        <v>0.8570480882339641</v>
      </c>
      <c r="Q128" s="49"/>
      <c r="R128" s="49">
        <v>0.9605921925627815</v>
      </c>
      <c r="S128" s="49"/>
      <c r="T128" s="49"/>
      <c r="U128" s="49"/>
      <c r="V128" s="49">
        <v>0.04210815090686165</v>
      </c>
      <c r="W128" s="49"/>
      <c r="X128" s="51">
        <v>1.1937450241340741</v>
      </c>
      <c r="Y128" s="301">
        <v>3.5581</v>
      </c>
      <c r="Z128" s="590" t="e">
        <f>Fruit!#REF!/Fruit!B25</f>
        <v>#REF!</v>
      </c>
      <c r="AA128" s="879"/>
    </row>
    <row r="129" spans="1:27" ht="12.75">
      <c r="A129" s="13" t="s">
        <v>879</v>
      </c>
      <c r="B129" s="49">
        <v>2.771725755890351</v>
      </c>
      <c r="C129" s="49"/>
      <c r="D129" s="49">
        <v>3</v>
      </c>
      <c r="E129" s="49"/>
      <c r="F129" s="49">
        <v>2.6885739832136406</v>
      </c>
      <c r="G129" s="49"/>
      <c r="H129" s="49">
        <v>12.836730422519542</v>
      </c>
      <c r="I129" s="49"/>
      <c r="J129" s="49">
        <v>2.3434489887785097</v>
      </c>
      <c r="K129" s="49"/>
      <c r="L129" s="49">
        <v>50</v>
      </c>
      <c r="M129" s="49"/>
      <c r="N129" s="49">
        <v>20</v>
      </c>
      <c r="O129" s="49"/>
      <c r="P129" s="907">
        <f>0.01*74.6354885529532</f>
        <v>0.7463548855295321</v>
      </c>
      <c r="Q129" s="49"/>
      <c r="R129" s="49">
        <v>0.703034696633553</v>
      </c>
      <c r="S129" s="49"/>
      <c r="T129" s="49"/>
      <c r="U129" s="49"/>
      <c r="V129" s="49">
        <v>0.03081795930448451</v>
      </c>
      <c r="W129" s="49"/>
      <c r="X129" s="51">
        <v>0.8736737373024835</v>
      </c>
      <c r="Y129" s="301">
        <v>0.280438483578575</v>
      </c>
      <c r="Z129" s="590" t="e">
        <f>Fruit!#REF!/Fruit!B26</f>
        <v>#REF!</v>
      </c>
      <c r="AA129" s="879"/>
    </row>
    <row r="130" spans="1:27" ht="12.75">
      <c r="A130" s="13" t="s">
        <v>880</v>
      </c>
      <c r="B130" s="372">
        <v>4.049086815825161</v>
      </c>
      <c r="C130" s="49"/>
      <c r="D130" s="49">
        <v>32.070598007412165</v>
      </c>
      <c r="E130" s="49"/>
      <c r="F130" s="49">
        <v>2.777704699630521</v>
      </c>
      <c r="G130" s="49"/>
      <c r="H130" s="49">
        <v>6</v>
      </c>
      <c r="I130" s="49"/>
      <c r="J130" s="49">
        <v>2.6110424176526896</v>
      </c>
      <c r="K130" s="49"/>
      <c r="L130" s="49">
        <v>0</v>
      </c>
      <c r="M130" s="49"/>
      <c r="N130" s="49">
        <v>10</v>
      </c>
      <c r="O130" s="49"/>
      <c r="P130" s="907">
        <f>0.01*42.5317259142707</f>
        <v>0.425317259142707</v>
      </c>
      <c r="Q130" s="49"/>
      <c r="R130" s="49">
        <v>2.3499381758874205</v>
      </c>
      <c r="S130" s="49"/>
      <c r="T130" s="49">
        <v>0.2701078363088989</v>
      </c>
      <c r="U130" s="49"/>
      <c r="V130" s="49">
        <v>0.1030109885320513</v>
      </c>
      <c r="W130" s="49"/>
      <c r="X130" s="51">
        <v>2.9203100193893885</v>
      </c>
      <c r="Y130" s="301">
        <v>1.1485333333333334</v>
      </c>
      <c r="Z130" s="590" t="e">
        <f>Fruit!#REF!/Fruit!B26</f>
        <v>#REF!</v>
      </c>
      <c r="AA130" s="879"/>
    </row>
    <row r="131" spans="1:27" ht="12.75">
      <c r="A131" s="13" t="s">
        <v>522</v>
      </c>
      <c r="B131" s="372">
        <v>2.96651041241192</v>
      </c>
      <c r="C131" s="49"/>
      <c r="D131" s="49">
        <v>4</v>
      </c>
      <c r="E131" s="49"/>
      <c r="F131" s="49">
        <v>2.8478499959154435</v>
      </c>
      <c r="G131" s="49"/>
      <c r="H131" s="49">
        <v>6.963065155121987</v>
      </c>
      <c r="I131" s="49"/>
      <c r="J131" s="49">
        <v>2.649552345179712</v>
      </c>
      <c r="K131" s="49"/>
      <c r="L131" s="49">
        <v>47</v>
      </c>
      <c r="M131" s="49"/>
      <c r="N131" s="49">
        <v>44</v>
      </c>
      <c r="O131" s="49"/>
      <c r="P131" s="907">
        <f>0.01*91.9616088294025</f>
        <v>0.919616088294025</v>
      </c>
      <c r="Q131" s="49"/>
      <c r="R131" s="49">
        <v>0.2384597110661742</v>
      </c>
      <c r="S131" s="49"/>
      <c r="T131" s="49"/>
      <c r="U131" s="49"/>
      <c r="V131" s="49">
        <v>0.010453028430298047</v>
      </c>
      <c r="W131" s="49"/>
      <c r="X131" s="51">
        <v>0.2963381294847345</v>
      </c>
      <c r="Y131" s="301">
        <v>0.087</v>
      </c>
      <c r="Z131" s="590" t="e">
        <f>Fruit!#REF!/Fruit!#REF!</f>
        <v>#REF!</v>
      </c>
      <c r="AA131" s="879"/>
    </row>
    <row r="132" spans="1:27" ht="12.75">
      <c r="A132" s="13" t="s">
        <v>523</v>
      </c>
      <c r="B132" s="49">
        <v>3.7219207100163105</v>
      </c>
      <c r="C132" s="49"/>
      <c r="D132" s="49">
        <v>66.34615384615385</v>
      </c>
      <c r="E132" s="49"/>
      <c r="F132" s="49">
        <v>1.2525694697170273</v>
      </c>
      <c r="G132" s="49"/>
      <c r="H132" s="49">
        <v>6</v>
      </c>
      <c r="I132" s="49"/>
      <c r="J132" s="49">
        <v>1.177415301534006</v>
      </c>
      <c r="K132" s="49"/>
      <c r="L132" s="49">
        <v>0</v>
      </c>
      <c r="M132" s="49"/>
      <c r="N132" s="49">
        <v>10</v>
      </c>
      <c r="O132" s="49"/>
      <c r="P132" s="907">
        <f>0.01*71.5288461538462</f>
        <v>0.715288461538462</v>
      </c>
      <c r="Q132" s="49"/>
      <c r="R132" s="49">
        <v>1.0596737713806053</v>
      </c>
      <c r="S132" s="49"/>
      <c r="T132" s="49">
        <v>0.12110557387206917</v>
      </c>
      <c r="U132" s="49"/>
      <c r="V132" s="49">
        <v>0.046451452992026535</v>
      </c>
      <c r="W132" s="49"/>
      <c r="X132" s="51">
        <v>1.3168754665974562</v>
      </c>
      <c r="Y132" s="301">
        <v>0.28380000000000005</v>
      </c>
      <c r="Z132" s="590" t="e">
        <f>Fruit!#REF!/Fruit!#REF!</f>
        <v>#REF!</v>
      </c>
      <c r="AA132" s="879"/>
    </row>
    <row r="133" spans="1:27" ht="12.75">
      <c r="A133" s="13" t="s">
        <v>524</v>
      </c>
      <c r="B133" s="49">
        <v>2.4250526230141043</v>
      </c>
      <c r="C133" s="49"/>
      <c r="D133" s="49">
        <v>5</v>
      </c>
      <c r="E133" s="49"/>
      <c r="F133" s="49">
        <v>2.3037999918633987</v>
      </c>
      <c r="G133" s="49"/>
      <c r="H133" s="49">
        <v>8.317462745050063</v>
      </c>
      <c r="I133" s="49"/>
      <c r="J133" s="49">
        <v>2.1121822858196935</v>
      </c>
      <c r="K133" s="49"/>
      <c r="L133" s="49">
        <v>16</v>
      </c>
      <c r="M133" s="49"/>
      <c r="N133" s="49">
        <v>44</v>
      </c>
      <c r="O133" s="49"/>
      <c r="P133" s="907">
        <f>0.01*65.160635843119</f>
        <v>0.65160635843119</v>
      </c>
      <c r="Q133" s="49"/>
      <c r="R133" s="49">
        <v>0.8448729143278776</v>
      </c>
      <c r="S133" s="49"/>
      <c r="T133" s="49"/>
      <c r="U133" s="49"/>
      <c r="V133" s="49">
        <v>0.03703552501163299</v>
      </c>
      <c r="W133" s="49"/>
      <c r="X133" s="51">
        <v>1.0499386163172895</v>
      </c>
      <c r="Y133" s="301">
        <v>0.315</v>
      </c>
      <c r="Z133" s="590" t="e">
        <f>Fruit!#REF!/Fruit!#REF!</f>
        <v>#REF!</v>
      </c>
      <c r="AA133" s="879"/>
    </row>
    <row r="134" spans="1:27" ht="12.75">
      <c r="A134" s="13" t="s">
        <v>525</v>
      </c>
      <c r="B134" s="49">
        <v>0.8243739926640774</v>
      </c>
      <c r="C134" s="49"/>
      <c r="D134" s="49">
        <v>66.75</v>
      </c>
      <c r="E134" s="49"/>
      <c r="F134" s="49">
        <v>0.27410435256080573</v>
      </c>
      <c r="G134" s="49"/>
      <c r="H134" s="49">
        <v>6</v>
      </c>
      <c r="I134" s="49"/>
      <c r="J134" s="49">
        <v>0.2576580914071574</v>
      </c>
      <c r="K134" s="49"/>
      <c r="L134" s="49">
        <v>0</v>
      </c>
      <c r="M134" s="49"/>
      <c r="N134" s="49">
        <v>10</v>
      </c>
      <c r="O134" s="49"/>
      <c r="P134" s="907">
        <f>0.01*71.8705</f>
        <v>0.718705</v>
      </c>
      <c r="Q134" s="49"/>
      <c r="R134" s="49">
        <v>0.23189228226644168</v>
      </c>
      <c r="S134" s="49"/>
      <c r="T134" s="49">
        <v>0.026501975116164762</v>
      </c>
      <c r="U134" s="49"/>
      <c r="V134" s="49">
        <v>0.01016514114044676</v>
      </c>
      <c r="W134" s="49"/>
      <c r="X134" s="51">
        <v>0.2881766687610953</v>
      </c>
      <c r="Y134" s="301">
        <v>0.0667</v>
      </c>
      <c r="Z134" s="590" t="e">
        <f>Fruit!#REF!/Fruit!#REF!</f>
        <v>#REF!</v>
      </c>
      <c r="AA134" s="879"/>
    </row>
    <row r="135" spans="1:27" ht="12.75">
      <c r="A135" s="13" t="s">
        <v>881</v>
      </c>
      <c r="B135" s="49">
        <v>3.046951645104296</v>
      </c>
      <c r="C135" s="49"/>
      <c r="D135" s="49">
        <v>5</v>
      </c>
      <c r="E135" s="49"/>
      <c r="F135" s="49">
        <v>2.8946040628490817</v>
      </c>
      <c r="G135" s="49"/>
      <c r="H135" s="49">
        <v>20.437688512800264</v>
      </c>
      <c r="I135" s="49"/>
      <c r="J135" s="49">
        <v>2.303013900805125</v>
      </c>
      <c r="K135" s="49"/>
      <c r="L135" s="49">
        <v>26</v>
      </c>
      <c r="M135" s="49"/>
      <c r="N135" s="49">
        <v>52</v>
      </c>
      <c r="O135" s="49"/>
      <c r="P135" s="907">
        <f>0.01*83.3714768991753</f>
        <v>0.8337147689917531</v>
      </c>
      <c r="Q135" s="49"/>
      <c r="R135" s="49">
        <v>0.5066630581771274</v>
      </c>
      <c r="S135" s="49"/>
      <c r="T135" s="49"/>
      <c r="U135" s="49"/>
      <c r="V135" s="49">
        <v>0.022209887481737096</v>
      </c>
      <c r="W135" s="49"/>
      <c r="X135" s="51">
        <v>0.6296392051635058</v>
      </c>
      <c r="Y135" s="301">
        <v>0.33390000000000003</v>
      </c>
      <c r="Z135" s="590" t="e">
        <f>Fruit!#REF!/Fruit!#REF!</f>
        <v>#REF!</v>
      </c>
      <c r="AA135" s="879"/>
    </row>
    <row r="136" spans="1:27" ht="12.75">
      <c r="A136" s="13" t="s">
        <v>882</v>
      </c>
      <c r="B136" s="49">
        <v>2.1121617890151554</v>
      </c>
      <c r="C136" s="49"/>
      <c r="D136" s="49">
        <v>5</v>
      </c>
      <c r="E136" s="49"/>
      <c r="F136" s="49">
        <v>2.0065536995643978</v>
      </c>
      <c r="G136" s="49"/>
      <c r="H136" s="49">
        <v>14.465165583510986</v>
      </c>
      <c r="I136" s="49"/>
      <c r="J136" s="49">
        <v>1.716302384400342</v>
      </c>
      <c r="K136" s="49"/>
      <c r="L136" s="49">
        <v>31</v>
      </c>
      <c r="M136" s="49"/>
      <c r="N136" s="49">
        <v>13</v>
      </c>
      <c r="O136" s="49"/>
      <c r="P136" s="907">
        <f>0.01*54.4954680904278</f>
        <v>0.544954680904278</v>
      </c>
      <c r="Q136" s="49"/>
      <c r="R136" s="49">
        <v>0.9611293352641915</v>
      </c>
      <c r="S136" s="49"/>
      <c r="T136" s="49"/>
      <c r="U136" s="49"/>
      <c r="V136" s="49">
        <v>0.042131696888293324</v>
      </c>
      <c r="W136" s="49"/>
      <c r="X136" s="51">
        <v>1.1944125409346715</v>
      </c>
      <c r="Y136" s="301">
        <v>0.714</v>
      </c>
      <c r="Z136" s="590" t="e">
        <f>Fruit!#REF!/Fruit!#REF!</f>
        <v>#REF!</v>
      </c>
      <c r="AA136" s="879"/>
    </row>
    <row r="137" spans="1:27" ht="12.75">
      <c r="A137" s="13" t="s">
        <v>883</v>
      </c>
      <c r="B137" s="49">
        <v>1.1719170306795637</v>
      </c>
      <c r="C137" s="49"/>
      <c r="D137" s="49">
        <v>5.660377358490576</v>
      </c>
      <c r="E137" s="49"/>
      <c r="F137" s="49">
        <v>1.1055821044146825</v>
      </c>
      <c r="G137" s="49"/>
      <c r="H137" s="49">
        <v>6</v>
      </c>
      <c r="I137" s="49"/>
      <c r="J137" s="49">
        <v>1.0392471781498016</v>
      </c>
      <c r="K137" s="49"/>
      <c r="L137" s="49">
        <v>0</v>
      </c>
      <c r="M137" s="49"/>
      <c r="N137" s="49">
        <v>25</v>
      </c>
      <c r="O137" s="49"/>
      <c r="P137" s="907">
        <f>0.01*33.4905660377359</f>
        <v>0.334905660377359</v>
      </c>
      <c r="Q137" s="49"/>
      <c r="R137" s="49">
        <v>0.7794353836123512</v>
      </c>
      <c r="S137" s="49"/>
      <c r="T137" s="49"/>
      <c r="U137" s="49"/>
      <c r="V137" s="49">
        <v>0.03416703051451402</v>
      </c>
      <c r="W137" s="49"/>
      <c r="X137" s="51">
        <v>0.9686182315712152</v>
      </c>
      <c r="Y137" s="301">
        <v>0.9506</v>
      </c>
      <c r="Z137" s="590" t="e">
        <f>Fruit!#REF!/Fruit!#REF!</f>
        <v>#REF!</v>
      </c>
      <c r="AA137" s="878"/>
    </row>
    <row r="138" spans="1:27" ht="12.75">
      <c r="A138" s="898" t="s">
        <v>884</v>
      </c>
      <c r="B138" s="49">
        <v>0.4723065307554421</v>
      </c>
      <c r="C138" s="49"/>
      <c r="D138" s="49">
        <v>9</v>
      </c>
      <c r="E138" s="49"/>
      <c r="F138" s="49">
        <v>0.4297989429874523</v>
      </c>
      <c r="G138" s="49"/>
      <c r="H138" s="49">
        <v>12.655465353913275</v>
      </c>
      <c r="I138" s="49"/>
      <c r="J138" s="49">
        <v>0.3754058866661898</v>
      </c>
      <c r="K138" s="49"/>
      <c r="L138" s="49">
        <v>14</v>
      </c>
      <c r="M138" s="49"/>
      <c r="N138" s="49">
        <v>45</v>
      </c>
      <c r="O138" s="49"/>
      <c r="P138" s="907">
        <f>0.01*67.4117541235451</f>
        <v>0.674117541235451</v>
      </c>
      <c r="Q138" s="49"/>
      <c r="R138" s="49">
        <v>0.15391641353313784</v>
      </c>
      <c r="S138" s="49"/>
      <c r="T138" s="49"/>
      <c r="U138" s="49"/>
      <c r="V138" s="49">
        <v>0.006747020867206041</v>
      </c>
      <c r="W138" s="49"/>
      <c r="X138" s="51">
        <v>0.19127466807485766</v>
      </c>
      <c r="Y138" s="301">
        <v>0.1159</v>
      </c>
      <c r="Z138" s="593" t="s">
        <v>159</v>
      </c>
      <c r="AA138" s="877"/>
    </row>
    <row r="139" spans="1:27" ht="12.75">
      <c r="A139" s="13" t="s">
        <v>885</v>
      </c>
      <c r="B139" s="49">
        <v>1.0920541320844515</v>
      </c>
      <c r="C139" s="49"/>
      <c r="D139" s="49">
        <v>5</v>
      </c>
      <c r="E139" s="49"/>
      <c r="F139" s="49">
        <v>1.037451425480229</v>
      </c>
      <c r="G139" s="49"/>
      <c r="H139" s="49">
        <v>54.89067905605425</v>
      </c>
      <c r="I139" s="49"/>
      <c r="J139" s="49">
        <v>0.4679872931574166</v>
      </c>
      <c r="K139" s="49"/>
      <c r="L139" s="49">
        <v>33</v>
      </c>
      <c r="M139" s="49"/>
      <c r="N139" s="49">
        <v>20</v>
      </c>
      <c r="O139" s="49"/>
      <c r="P139" s="907">
        <f>0.01*79.8586881985282</f>
        <v>0.798586881985282</v>
      </c>
      <c r="Q139" s="49"/>
      <c r="R139" s="49">
        <v>0.21995402778398582</v>
      </c>
      <c r="S139" s="49"/>
      <c r="T139" s="49"/>
      <c r="U139" s="49"/>
      <c r="V139" s="49">
        <v>0.009641820396010334</v>
      </c>
      <c r="W139" s="49"/>
      <c r="X139" s="51">
        <v>0.273340787316695</v>
      </c>
      <c r="Y139" s="301">
        <v>0.11610000000000001</v>
      </c>
      <c r="Z139" s="593" t="s">
        <v>159</v>
      </c>
      <c r="AA139" s="882"/>
    </row>
    <row r="140" spans="1:27" ht="12.75">
      <c r="A140" s="13" t="s">
        <v>886</v>
      </c>
      <c r="B140" s="49">
        <v>0.2129376749392915</v>
      </c>
      <c r="C140" s="49"/>
      <c r="D140" s="49">
        <v>6.542056074766355</v>
      </c>
      <c r="E140" s="49"/>
      <c r="F140" s="49">
        <v>0.19900717284045935</v>
      </c>
      <c r="G140" s="49"/>
      <c r="H140" s="49">
        <v>6</v>
      </c>
      <c r="I140" s="49"/>
      <c r="J140" s="49">
        <v>0.18706674247003177</v>
      </c>
      <c r="K140" s="49"/>
      <c r="L140" s="49">
        <v>10</v>
      </c>
      <c r="M140" s="49"/>
      <c r="N140" s="49">
        <v>25</v>
      </c>
      <c r="O140" s="49"/>
      <c r="P140" s="907">
        <f>0.01*42.8971962616822</f>
        <v>0.42897196261682197</v>
      </c>
      <c r="Q140" s="49"/>
      <c r="R140" s="49">
        <v>0.12159338260552066</v>
      </c>
      <c r="S140" s="49"/>
      <c r="T140" s="49"/>
      <c r="U140" s="49"/>
      <c r="V140" s="49">
        <v>0.005330120881337892</v>
      </c>
      <c r="W140" s="49"/>
      <c r="X140" s="51">
        <v>0.15110626192548854</v>
      </c>
      <c r="Y140" s="301">
        <v>0.42556457440239637</v>
      </c>
      <c r="Z140" s="593" t="s">
        <v>159</v>
      </c>
      <c r="AA140" s="882"/>
    </row>
    <row r="141" spans="1:27" ht="12.75">
      <c r="A141" s="13" t="s">
        <v>887</v>
      </c>
      <c r="B141" s="49">
        <v>0.2550561603489133</v>
      </c>
      <c r="C141" s="49"/>
      <c r="D141" s="49">
        <v>65.98639455782313</v>
      </c>
      <c r="E141" s="49"/>
      <c r="F141" s="49">
        <v>0.08675379603704532</v>
      </c>
      <c r="G141" s="49"/>
      <c r="H141" s="49">
        <v>6</v>
      </c>
      <c r="I141" s="49"/>
      <c r="J141" s="49">
        <v>0.0815485682748226</v>
      </c>
      <c r="K141" s="49"/>
      <c r="L141" s="49">
        <v>0</v>
      </c>
      <c r="M141" s="49"/>
      <c r="N141" s="49">
        <v>25</v>
      </c>
      <c r="O141" s="49"/>
      <c r="P141" s="907">
        <f>0.01*76.0204081632653</f>
        <v>0.7602040816326531</v>
      </c>
      <c r="Q141" s="49"/>
      <c r="R141" s="49">
        <v>0.061161426206116934</v>
      </c>
      <c r="S141" s="49"/>
      <c r="T141" s="49"/>
      <c r="U141" s="49"/>
      <c r="V141" s="49">
        <v>0.0026810488199941673</v>
      </c>
      <c r="W141" s="49"/>
      <c r="X141" s="51">
        <v>0.07600639352242465</v>
      </c>
      <c r="Y141" s="301">
        <v>0.5727</v>
      </c>
      <c r="Z141" s="593" t="s">
        <v>159</v>
      </c>
      <c r="AA141" s="879"/>
    </row>
    <row r="142" spans="2:27" ht="12.75">
      <c r="B142" s="590"/>
      <c r="C142" s="590"/>
      <c r="D142" s="590"/>
      <c r="E142" s="590"/>
      <c r="F142" s="590"/>
      <c r="G142" s="590"/>
      <c r="H142" s="590"/>
      <c r="I142" s="590"/>
      <c r="J142" s="590"/>
      <c r="K142" s="590"/>
      <c r="L142" s="590"/>
      <c r="M142" s="590"/>
      <c r="N142" s="590"/>
      <c r="O142" s="590"/>
      <c r="P142" s="590"/>
      <c r="Q142" s="590"/>
      <c r="R142" s="590"/>
      <c r="S142" s="590"/>
      <c r="T142" s="590"/>
      <c r="U142" s="590"/>
      <c r="V142" s="590"/>
      <c r="W142" s="590"/>
      <c r="AA142" s="882"/>
    </row>
    <row r="143" spans="1:27" ht="12.75">
      <c r="A143" s="8" t="s">
        <v>888</v>
      </c>
      <c r="B143" s="590"/>
      <c r="C143" s="590"/>
      <c r="D143" s="590"/>
      <c r="E143" s="590"/>
      <c r="F143" s="590"/>
      <c r="G143" s="590"/>
      <c r="H143" s="590"/>
      <c r="I143" s="590"/>
      <c r="J143" s="590"/>
      <c r="K143" s="590"/>
      <c r="L143" s="590"/>
      <c r="M143" s="590"/>
      <c r="N143" s="590"/>
      <c r="O143" s="590"/>
      <c r="P143" s="590"/>
      <c r="Q143" s="590"/>
      <c r="R143" s="590"/>
      <c r="S143" s="590"/>
      <c r="T143" s="590"/>
      <c r="U143" s="590"/>
      <c r="V143" s="590"/>
      <c r="W143" s="590"/>
      <c r="X143" s="602">
        <f>SUM(X144:X151)</f>
        <v>167.28540905979145</v>
      </c>
      <c r="Y143" s="1232">
        <f>SUM(Y144:Y151)</f>
        <v>605.2257</v>
      </c>
      <c r="Z143" s="591"/>
      <c r="AA143" s="884"/>
    </row>
    <row r="144" spans="1:27" ht="12.75">
      <c r="A144" s="13" t="s">
        <v>889</v>
      </c>
      <c r="B144" s="590"/>
      <c r="C144" s="590"/>
      <c r="D144" s="590"/>
      <c r="E144" s="590"/>
      <c r="F144" s="590"/>
      <c r="G144" s="590"/>
      <c r="H144" s="590"/>
      <c r="I144" s="590"/>
      <c r="J144" s="590"/>
      <c r="K144" s="590"/>
      <c r="L144" s="590"/>
      <c r="M144" s="590"/>
      <c r="N144" s="590"/>
      <c r="O144" s="590"/>
      <c r="P144" s="590"/>
      <c r="Q144" s="590"/>
      <c r="R144" s="590"/>
      <c r="S144" s="590"/>
      <c r="T144" s="590"/>
      <c r="U144" s="590"/>
      <c r="V144" s="590"/>
      <c r="W144" s="590"/>
      <c r="X144" s="282">
        <f>118.901699846332*0.85</f>
        <v>101.0664448693822</v>
      </c>
      <c r="Y144" s="382">
        <v>368.004</v>
      </c>
      <c r="Z144" s="49"/>
      <c r="AA144" s="884"/>
    </row>
    <row r="145" spans="1:27" ht="12.75">
      <c r="A145" s="40" t="s">
        <v>705</v>
      </c>
      <c r="B145" s="590"/>
      <c r="C145" s="590"/>
      <c r="D145" s="590"/>
      <c r="E145" s="590"/>
      <c r="F145" s="590"/>
      <c r="G145" s="590"/>
      <c r="H145" s="590"/>
      <c r="I145" s="590"/>
      <c r="J145" s="590"/>
      <c r="K145" s="590"/>
      <c r="L145" s="590"/>
      <c r="M145" s="590"/>
      <c r="N145" s="590"/>
      <c r="O145" s="590"/>
      <c r="P145" s="590"/>
      <c r="Q145" s="590"/>
      <c r="R145" s="590"/>
      <c r="S145" s="590"/>
      <c r="T145" s="590"/>
      <c r="U145" s="590"/>
      <c r="V145" s="590"/>
      <c r="W145" s="590"/>
      <c r="X145" s="920">
        <f>118.901699846332*0.15</f>
        <v>17.8352549769498</v>
      </c>
      <c r="Y145" s="1234">
        <v>60.66</v>
      </c>
      <c r="Z145" s="49"/>
      <c r="AA145" s="884"/>
    </row>
    <row r="146" spans="1:27" ht="12.75">
      <c r="A146" s="13" t="s">
        <v>698</v>
      </c>
      <c r="B146" s="590"/>
      <c r="C146" s="590"/>
      <c r="D146" s="590"/>
      <c r="E146" s="590"/>
      <c r="F146" s="590"/>
      <c r="G146" s="590"/>
      <c r="H146" s="590"/>
      <c r="I146" s="590"/>
      <c r="J146" s="590"/>
      <c r="K146" s="590"/>
      <c r="L146" s="590"/>
      <c r="M146" s="590"/>
      <c r="N146" s="590"/>
      <c r="O146" s="590"/>
      <c r="P146" s="590"/>
      <c r="Q146" s="590"/>
      <c r="R146" s="590"/>
      <c r="S146" s="590"/>
      <c r="T146" s="590"/>
      <c r="U146" s="590"/>
      <c r="V146" s="590"/>
      <c r="W146" s="590"/>
      <c r="X146" s="282">
        <v>28.5908606527123</v>
      </c>
      <c r="Y146" s="382">
        <v>104.1629</v>
      </c>
      <c r="Z146" s="49"/>
      <c r="AA146" s="175"/>
    </row>
    <row r="147" spans="1:26" ht="12.75">
      <c r="A147" s="13" t="s">
        <v>890</v>
      </c>
      <c r="B147" s="590"/>
      <c r="C147" s="590"/>
      <c r="D147" s="590"/>
      <c r="E147" s="590"/>
      <c r="F147" s="590"/>
      <c r="G147" s="590"/>
      <c r="H147" s="590"/>
      <c r="I147" s="590"/>
      <c r="J147" s="590"/>
      <c r="K147" s="590"/>
      <c r="L147" s="590"/>
      <c r="M147" s="590"/>
      <c r="N147" s="590"/>
      <c r="O147" s="590"/>
      <c r="P147" s="590"/>
      <c r="Q147" s="590"/>
      <c r="R147" s="590"/>
      <c r="S147" s="590"/>
      <c r="T147" s="590"/>
      <c r="U147" s="590"/>
      <c r="V147" s="590"/>
      <c r="W147" s="590"/>
      <c r="X147" s="282">
        <f>15.4955502204943*0.85</f>
        <v>13.171217687420155</v>
      </c>
      <c r="Y147" s="382">
        <v>47.5437</v>
      </c>
      <c r="Z147" s="49"/>
    </row>
    <row r="148" spans="1:26" ht="12.75">
      <c r="A148" s="40" t="s">
        <v>700</v>
      </c>
      <c r="B148" s="590"/>
      <c r="C148" s="590"/>
      <c r="D148" s="590"/>
      <c r="E148" s="590"/>
      <c r="F148" s="590"/>
      <c r="G148" s="590"/>
      <c r="H148" s="590"/>
      <c r="I148" s="590"/>
      <c r="J148" s="590"/>
      <c r="K148" s="590"/>
      <c r="L148" s="590"/>
      <c r="M148" s="590"/>
      <c r="N148" s="590"/>
      <c r="O148" s="590"/>
      <c r="P148" s="590"/>
      <c r="Q148" s="590"/>
      <c r="R148" s="590"/>
      <c r="S148" s="590"/>
      <c r="T148" s="590"/>
      <c r="U148" s="590"/>
      <c r="V148" s="590"/>
      <c r="W148" s="590"/>
      <c r="X148" s="920">
        <f>15.4955502204943*0.15</f>
        <v>2.324332533074145</v>
      </c>
      <c r="Y148" s="1234">
        <v>8.49</v>
      </c>
      <c r="Z148" s="49"/>
    </row>
    <row r="149" spans="1:26" ht="15">
      <c r="A149" s="13" t="s">
        <v>701</v>
      </c>
      <c r="B149" s="590"/>
      <c r="C149" s="590"/>
      <c r="D149" s="590"/>
      <c r="E149" s="590"/>
      <c r="F149" s="590"/>
      <c r="G149" s="590"/>
      <c r="H149" s="590"/>
      <c r="I149" s="590"/>
      <c r="J149" s="590"/>
      <c r="K149" s="590"/>
      <c r="L149" s="590"/>
      <c r="M149" s="590"/>
      <c r="N149" s="590"/>
      <c r="O149" s="590"/>
      <c r="P149" s="590"/>
      <c r="Q149" s="590"/>
      <c r="R149" s="590"/>
      <c r="S149" s="590"/>
      <c r="T149" s="590"/>
      <c r="U149" s="590"/>
      <c r="V149" s="590"/>
      <c r="W149" s="590"/>
      <c r="X149" s="282">
        <v>3.388918305953317</v>
      </c>
      <c r="Y149" s="1246">
        <v>13.187100000000001</v>
      </c>
      <c r="Z149" s="49"/>
    </row>
    <row r="150" spans="1:26" ht="12.75">
      <c r="A150" s="13" t="s">
        <v>702</v>
      </c>
      <c r="B150" s="908"/>
      <c r="C150" s="908"/>
      <c r="D150" s="908"/>
      <c r="E150" s="908"/>
      <c r="F150" s="908"/>
      <c r="G150" s="908"/>
      <c r="H150" s="908"/>
      <c r="I150" s="908"/>
      <c r="J150" s="908"/>
      <c r="K150" s="908"/>
      <c r="L150" s="908"/>
      <c r="M150" s="908"/>
      <c r="N150" s="908"/>
      <c r="O150" s="908"/>
      <c r="P150" s="908"/>
      <c r="Q150" s="908"/>
      <c r="R150" s="908"/>
      <c r="S150" s="908"/>
      <c r="T150" s="908"/>
      <c r="U150" s="908"/>
      <c r="V150" s="908"/>
      <c r="W150" s="908"/>
      <c r="X150" s="921">
        <v>0.4856512791406291</v>
      </c>
      <c r="Y150" s="1235">
        <v>1.7346000000000001</v>
      </c>
      <c r="Z150" s="593" t="s">
        <v>159</v>
      </c>
    </row>
    <row r="151" spans="1:26" ht="12.75">
      <c r="A151" s="13" t="s">
        <v>703</v>
      </c>
      <c r="B151" s="908"/>
      <c r="C151" s="908"/>
      <c r="D151" s="908"/>
      <c r="E151" s="908"/>
      <c r="F151" s="908"/>
      <c r="G151" s="908"/>
      <c r="H151" s="908"/>
      <c r="I151" s="908"/>
      <c r="J151" s="908"/>
      <c r="K151" s="908"/>
      <c r="L151" s="908"/>
      <c r="M151" s="908"/>
      <c r="N151" s="908"/>
      <c r="O151" s="908"/>
      <c r="P151" s="908"/>
      <c r="Q151" s="908"/>
      <c r="R151" s="908"/>
      <c r="S151" s="908"/>
      <c r="T151" s="908"/>
      <c r="U151" s="908"/>
      <c r="V151" s="908"/>
      <c r="W151" s="908"/>
      <c r="X151" s="922">
        <v>0.42272875515891606</v>
      </c>
      <c r="Y151" s="338">
        <v>1.4434</v>
      </c>
      <c r="Z151" s="593" t="s">
        <v>159</v>
      </c>
    </row>
    <row r="152" spans="2:26" ht="12.75">
      <c r="B152" s="590"/>
      <c r="C152" s="590"/>
      <c r="D152" s="590"/>
      <c r="E152" s="590"/>
      <c r="F152" s="590"/>
      <c r="G152" s="590"/>
      <c r="H152" s="590"/>
      <c r="I152" s="590"/>
      <c r="J152" s="590"/>
      <c r="K152" s="590"/>
      <c r="L152" s="590"/>
      <c r="M152" s="590"/>
      <c r="N152" s="590"/>
      <c r="O152" s="590"/>
      <c r="P152" s="590"/>
      <c r="Q152" s="590"/>
      <c r="R152" s="590"/>
      <c r="S152" s="590"/>
      <c r="T152" s="590"/>
      <c r="U152" s="590"/>
      <c r="V152" s="590"/>
      <c r="W152" s="590"/>
      <c r="X152" s="51"/>
      <c r="Z152" s="49"/>
    </row>
    <row r="153" spans="1:26" ht="12.75">
      <c r="A153" s="8" t="s">
        <v>208</v>
      </c>
      <c r="B153" s="590"/>
      <c r="C153" s="590"/>
      <c r="D153" s="590"/>
      <c r="E153" s="590"/>
      <c r="F153" s="590"/>
      <c r="G153" s="590"/>
      <c r="H153" s="590"/>
      <c r="I153" s="590"/>
      <c r="J153" s="590"/>
      <c r="K153" s="590"/>
      <c r="L153" s="590"/>
      <c r="M153" s="590"/>
      <c r="N153" s="590"/>
      <c r="O153" s="590"/>
      <c r="P153" s="590"/>
      <c r="Q153" s="590"/>
      <c r="R153" s="590"/>
      <c r="S153" s="590"/>
      <c r="T153" s="590"/>
      <c r="U153" s="590"/>
      <c r="V153" s="590"/>
      <c r="W153" s="590"/>
      <c r="X153" s="1232">
        <f>SUM(X154:X171)</f>
        <v>239.27446910803906</v>
      </c>
      <c r="Y153" s="1232">
        <f>SUM(Y154:Y171)</f>
        <v>272.5483859892241</v>
      </c>
      <c r="Z153" s="591"/>
    </row>
    <row r="154" spans="1:26" ht="12.75">
      <c r="A154" s="40" t="s">
        <v>893</v>
      </c>
      <c r="B154" s="590"/>
      <c r="C154" s="590"/>
      <c r="D154" s="590"/>
      <c r="E154" s="590"/>
      <c r="F154" s="590"/>
      <c r="G154" s="590"/>
      <c r="H154" s="590"/>
      <c r="I154" s="590"/>
      <c r="J154" s="590"/>
      <c r="K154" s="590"/>
      <c r="L154" s="590"/>
      <c r="M154" s="590"/>
      <c r="N154" s="590"/>
      <c r="O154" s="590"/>
      <c r="P154" s="590"/>
      <c r="Q154" s="590"/>
      <c r="R154" s="590"/>
      <c r="S154" s="590"/>
      <c r="T154" s="590"/>
      <c r="U154" s="590"/>
      <c r="V154" s="590"/>
      <c r="W154" s="590"/>
      <c r="X154" s="51">
        <v>44.51225402156856</v>
      </c>
      <c r="Y154" s="382">
        <v>27.151099999999996</v>
      </c>
      <c r="Z154" s="49"/>
    </row>
    <row r="155" spans="1:26" ht="12.75">
      <c r="A155" s="393" t="s">
        <v>894</v>
      </c>
      <c r="B155" s="590"/>
      <c r="C155" s="590"/>
      <c r="D155" s="590"/>
      <c r="E155" s="590"/>
      <c r="F155" s="590"/>
      <c r="G155" s="590"/>
      <c r="H155" s="590"/>
      <c r="I155" s="590"/>
      <c r="J155" s="590"/>
      <c r="K155" s="590"/>
      <c r="L155" s="590"/>
      <c r="M155" s="590"/>
      <c r="N155" s="590"/>
      <c r="O155" s="590"/>
      <c r="P155" s="590"/>
      <c r="Q155" s="590"/>
      <c r="R155" s="590"/>
      <c r="S155" s="590"/>
      <c r="T155" s="590"/>
      <c r="U155" s="590"/>
      <c r="V155" s="590"/>
      <c r="W155" s="590"/>
      <c r="X155" s="51">
        <v>53.42030531178146</v>
      </c>
      <c r="Y155" s="382">
        <v>26.71015265589073</v>
      </c>
      <c r="Z155" s="49"/>
    </row>
    <row r="156" spans="1:26" ht="12.75">
      <c r="A156" s="393" t="s">
        <v>895</v>
      </c>
      <c r="B156" s="590"/>
      <c r="C156" s="590"/>
      <c r="D156" s="590"/>
      <c r="E156" s="590"/>
      <c r="F156" s="590"/>
      <c r="G156" s="590"/>
      <c r="H156" s="590"/>
      <c r="I156" s="590"/>
      <c r="J156" s="590"/>
      <c r="K156" s="590"/>
      <c r="L156" s="590"/>
      <c r="M156" s="590"/>
      <c r="N156" s="590"/>
      <c r="O156" s="590"/>
      <c r="P156" s="590"/>
      <c r="Q156" s="590"/>
      <c r="R156" s="590"/>
      <c r="S156" s="590"/>
      <c r="T156" s="590"/>
      <c r="U156" s="590"/>
      <c r="V156" s="590"/>
      <c r="W156" s="590"/>
      <c r="X156" s="51">
        <v>19.664849702453335</v>
      </c>
      <c r="Y156" s="382">
        <v>8.257200000000001</v>
      </c>
      <c r="Z156" s="49"/>
    </row>
    <row r="157" spans="1:26" ht="12.75">
      <c r="A157" s="393" t="s">
        <v>896</v>
      </c>
      <c r="B157" s="590"/>
      <c r="C157" s="590"/>
      <c r="D157" s="590"/>
      <c r="E157" s="590"/>
      <c r="F157" s="590"/>
      <c r="G157" s="590"/>
      <c r="H157" s="590"/>
      <c r="I157" s="590"/>
      <c r="J157" s="590"/>
      <c r="K157" s="590"/>
      <c r="L157" s="590"/>
      <c r="M157" s="590"/>
      <c r="N157" s="590"/>
      <c r="O157" s="590"/>
      <c r="P157" s="590"/>
      <c r="Q157" s="590"/>
      <c r="R157" s="590"/>
      <c r="S157" s="590"/>
      <c r="T157" s="590"/>
      <c r="U157" s="590"/>
      <c r="V157" s="590"/>
      <c r="W157" s="590"/>
      <c r="X157" s="51">
        <v>23.63710222779861</v>
      </c>
      <c r="Y157" s="382">
        <v>8.0376</v>
      </c>
      <c r="Z157" s="49"/>
    </row>
    <row r="158" spans="1:26" ht="12.75">
      <c r="A158" s="394" t="s">
        <v>720</v>
      </c>
      <c r="B158" s="590"/>
      <c r="C158" s="590"/>
      <c r="D158" s="590"/>
      <c r="E158" s="590"/>
      <c r="F158" s="590"/>
      <c r="G158" s="590"/>
      <c r="H158" s="590"/>
      <c r="I158" s="590"/>
      <c r="J158" s="590"/>
      <c r="K158" s="590"/>
      <c r="L158" s="590"/>
      <c r="M158" s="590"/>
      <c r="N158" s="590"/>
      <c r="O158" s="590"/>
      <c r="P158" s="590"/>
      <c r="Q158" s="590"/>
      <c r="R158" s="590"/>
      <c r="S158" s="590"/>
      <c r="T158" s="590"/>
      <c r="U158" s="590"/>
      <c r="V158" s="590"/>
      <c r="W158" s="590"/>
      <c r="X158" s="51">
        <v>8.81071177735808</v>
      </c>
      <c r="Y158" s="382">
        <v>6.754333333333334</v>
      </c>
      <c r="Z158" s="49"/>
    </row>
    <row r="159" spans="1:26" ht="12.75">
      <c r="A159" s="394" t="s">
        <v>722</v>
      </c>
      <c r="B159" s="590"/>
      <c r="C159" s="590"/>
      <c r="D159" s="590"/>
      <c r="E159" s="590"/>
      <c r="F159" s="590"/>
      <c r="G159" s="590"/>
      <c r="H159" s="590"/>
      <c r="I159" s="590"/>
      <c r="J159" s="590"/>
      <c r="K159" s="590"/>
      <c r="L159" s="590"/>
      <c r="M159" s="590"/>
      <c r="N159" s="590"/>
      <c r="O159" s="590"/>
      <c r="P159" s="590"/>
      <c r="Q159" s="590"/>
      <c r="R159" s="590"/>
      <c r="S159" s="590"/>
      <c r="T159" s="590"/>
      <c r="U159" s="590"/>
      <c r="V159" s="590"/>
      <c r="W159" s="590"/>
      <c r="X159" s="51">
        <v>1.5224815069567188</v>
      </c>
      <c r="Y159" s="301">
        <v>0.608</v>
      </c>
      <c r="Z159" s="49"/>
    </row>
    <row r="160" spans="1:26" ht="12.75">
      <c r="A160" s="394" t="s">
        <v>311</v>
      </c>
      <c r="B160" s="590"/>
      <c r="C160" s="590"/>
      <c r="D160" s="590"/>
      <c r="E160" s="590"/>
      <c r="F160" s="590"/>
      <c r="G160" s="590"/>
      <c r="H160" s="590"/>
      <c r="I160" s="590"/>
      <c r="J160" s="590"/>
      <c r="K160" s="590"/>
      <c r="L160" s="590"/>
      <c r="M160" s="590"/>
      <c r="N160" s="590"/>
      <c r="O160" s="590"/>
      <c r="P160" s="590"/>
      <c r="Q160" s="590"/>
      <c r="R160" s="590"/>
      <c r="S160" s="590"/>
      <c r="T160" s="590"/>
      <c r="U160" s="590"/>
      <c r="V160" s="590"/>
      <c r="W160" s="590"/>
      <c r="X160" s="51">
        <v>10.424731356342647</v>
      </c>
      <c r="Y160" s="301">
        <v>6.9</v>
      </c>
      <c r="Z160" s="49"/>
    </row>
    <row r="161" spans="1:26" ht="12.75">
      <c r="A161" s="394" t="s">
        <v>68</v>
      </c>
      <c r="B161" s="590"/>
      <c r="C161" s="590"/>
      <c r="D161" s="590"/>
      <c r="E161" s="590"/>
      <c r="F161" s="590"/>
      <c r="G161" s="590"/>
      <c r="H161" s="590"/>
      <c r="I161" s="590"/>
      <c r="J161" s="590"/>
      <c r="K161" s="590"/>
      <c r="L161" s="590"/>
      <c r="M161" s="590"/>
      <c r="N161" s="590"/>
      <c r="O161" s="590"/>
      <c r="P161" s="590"/>
      <c r="Q161" s="590"/>
      <c r="R161" s="590"/>
      <c r="S161" s="590"/>
      <c r="T161" s="590"/>
      <c r="U161" s="590"/>
      <c r="V161" s="590"/>
      <c r="W161" s="590"/>
      <c r="X161" s="51">
        <v>18.375860774267455</v>
      </c>
      <c r="Y161" s="301">
        <v>40.11</v>
      </c>
      <c r="Z161" s="49"/>
    </row>
    <row r="162" spans="1:26" ht="12.75">
      <c r="A162" s="394" t="s">
        <v>109</v>
      </c>
      <c r="B162" s="590"/>
      <c r="C162" s="590"/>
      <c r="D162" s="590"/>
      <c r="E162" s="590"/>
      <c r="F162" s="590"/>
      <c r="G162" s="590"/>
      <c r="H162" s="590"/>
      <c r="I162" s="590"/>
      <c r="J162" s="590"/>
      <c r="K162" s="590"/>
      <c r="L162" s="590"/>
      <c r="M162" s="590"/>
      <c r="N162" s="590"/>
      <c r="O162" s="590"/>
      <c r="P162" s="590"/>
      <c r="Q162" s="590"/>
      <c r="R162" s="590"/>
      <c r="S162" s="590"/>
      <c r="T162" s="590"/>
      <c r="U162" s="590"/>
      <c r="V162" s="590"/>
      <c r="W162" s="590"/>
      <c r="X162" s="51">
        <v>27.39352511151704</v>
      </c>
      <c r="Y162" s="301">
        <v>86.15</v>
      </c>
      <c r="Z162" s="49"/>
    </row>
    <row r="163" spans="1:26" ht="12.75">
      <c r="A163" s="328" t="s">
        <v>903</v>
      </c>
      <c r="B163" s="908"/>
      <c r="C163" s="908"/>
      <c r="D163" s="908"/>
      <c r="E163" s="908"/>
      <c r="F163" s="908"/>
      <c r="G163" s="908"/>
      <c r="H163" s="908"/>
      <c r="I163" s="908"/>
      <c r="J163" s="908"/>
      <c r="K163" s="908"/>
      <c r="L163" s="908"/>
      <c r="M163" s="908"/>
      <c r="N163" s="908"/>
      <c r="O163" s="908"/>
      <c r="P163" s="908"/>
      <c r="Q163" s="908"/>
      <c r="R163" s="908"/>
      <c r="S163" s="908"/>
      <c r="T163" s="908"/>
      <c r="U163" s="908"/>
      <c r="V163" s="908"/>
      <c r="W163" s="908"/>
      <c r="X163" s="922">
        <f>DairyCurrent!X28</f>
        <v>6.638515051169806</v>
      </c>
      <c r="Y163" s="338">
        <v>7.04</v>
      </c>
      <c r="Z163" s="49"/>
    </row>
    <row r="164" spans="1:26" ht="12.75">
      <c r="A164" s="328" t="s">
        <v>732</v>
      </c>
      <c r="B164" s="908"/>
      <c r="C164" s="908"/>
      <c r="D164" s="908"/>
      <c r="E164" s="908"/>
      <c r="F164" s="908"/>
      <c r="G164" s="908"/>
      <c r="H164" s="908"/>
      <c r="I164" s="908"/>
      <c r="J164" s="908"/>
      <c r="K164" s="908"/>
      <c r="L164" s="908"/>
      <c r="M164" s="908"/>
      <c r="N164" s="908"/>
      <c r="O164" s="908"/>
      <c r="P164" s="908"/>
      <c r="Q164" s="908"/>
      <c r="R164" s="908"/>
      <c r="S164" s="908"/>
      <c r="T164" s="908"/>
      <c r="U164" s="908"/>
      <c r="V164" s="908"/>
      <c r="W164" s="908"/>
      <c r="X164" s="922">
        <f>DairyCurrent!X33</f>
        <v>2.63483091803004</v>
      </c>
      <c r="Y164" s="338">
        <v>9.42</v>
      </c>
      <c r="Z164" s="49"/>
    </row>
    <row r="165" spans="1:26" ht="12.75">
      <c r="A165" s="328" t="s">
        <v>739</v>
      </c>
      <c r="B165" s="908"/>
      <c r="C165" s="908"/>
      <c r="D165" s="908"/>
      <c r="E165" s="908"/>
      <c r="F165" s="908"/>
      <c r="G165" s="908"/>
      <c r="H165" s="908"/>
      <c r="I165" s="908"/>
      <c r="J165" s="908"/>
      <c r="K165" s="908"/>
      <c r="L165" s="908"/>
      <c r="M165" s="908"/>
      <c r="N165" s="908"/>
      <c r="O165" s="908"/>
      <c r="P165" s="908"/>
      <c r="Q165" s="908"/>
      <c r="R165" s="908"/>
      <c r="S165" s="908"/>
      <c r="T165" s="908"/>
      <c r="U165" s="908"/>
      <c r="V165" s="908"/>
      <c r="W165" s="908"/>
      <c r="X165" s="922">
        <f>DairyCurrent!X42</f>
        <v>2.2313040428178934</v>
      </c>
      <c r="Y165" s="338">
        <v>2.19</v>
      </c>
      <c r="Z165" s="49"/>
    </row>
    <row r="166" spans="1:26" ht="12.75">
      <c r="A166" s="599" t="s">
        <v>902</v>
      </c>
      <c r="B166" s="908"/>
      <c r="C166" s="908"/>
      <c r="D166" s="908"/>
      <c r="E166" s="908"/>
      <c r="F166" s="908"/>
      <c r="G166" s="908"/>
      <c r="H166" s="908"/>
      <c r="I166" s="908"/>
      <c r="J166" s="908"/>
      <c r="K166" s="908"/>
      <c r="L166" s="908"/>
      <c r="M166" s="908"/>
      <c r="N166" s="908"/>
      <c r="O166" s="908"/>
      <c r="P166" s="908"/>
      <c r="Q166" s="908"/>
      <c r="R166" s="908"/>
      <c r="S166" s="908"/>
      <c r="T166" s="908"/>
      <c r="U166" s="908"/>
      <c r="V166" s="908"/>
      <c r="W166" s="908"/>
      <c r="X166" s="922">
        <v>3.3712742103255238</v>
      </c>
      <c r="Y166" s="338">
        <v>1.99</v>
      </c>
      <c r="Z166" s="49"/>
    </row>
    <row r="167" spans="1:26" ht="12.75">
      <c r="A167" s="599" t="s">
        <v>769</v>
      </c>
      <c r="B167" s="908"/>
      <c r="C167" s="908"/>
      <c r="D167" s="908"/>
      <c r="E167" s="908"/>
      <c r="F167" s="908"/>
      <c r="G167" s="908"/>
      <c r="H167" s="908"/>
      <c r="I167" s="908"/>
      <c r="J167" s="908"/>
      <c r="K167" s="908"/>
      <c r="L167" s="908"/>
      <c r="M167" s="908"/>
      <c r="N167" s="908"/>
      <c r="O167" s="908"/>
      <c r="P167" s="908"/>
      <c r="Q167" s="908"/>
      <c r="R167" s="908"/>
      <c r="S167" s="908"/>
      <c r="T167" s="908"/>
      <c r="U167" s="908"/>
      <c r="V167" s="908"/>
      <c r="W167" s="908"/>
      <c r="X167" s="922">
        <v>7.73862541206523</v>
      </c>
      <c r="Y167" s="338">
        <v>18.85</v>
      </c>
      <c r="Z167" s="49"/>
    </row>
    <row r="168" spans="1:26" ht="12.75">
      <c r="A168" s="599" t="s">
        <v>770</v>
      </c>
      <c r="B168" s="908"/>
      <c r="C168" s="908"/>
      <c r="D168" s="908"/>
      <c r="E168" s="908"/>
      <c r="F168" s="908"/>
      <c r="G168" s="908"/>
      <c r="H168" s="908"/>
      <c r="I168" s="908"/>
      <c r="J168" s="908"/>
      <c r="K168" s="908"/>
      <c r="L168" s="908"/>
      <c r="M168" s="908"/>
      <c r="N168" s="908"/>
      <c r="O168" s="908"/>
      <c r="P168" s="908"/>
      <c r="Q168" s="908"/>
      <c r="R168" s="908"/>
      <c r="S168" s="908"/>
      <c r="T168" s="908"/>
      <c r="U168" s="908"/>
      <c r="V168" s="908"/>
      <c r="W168" s="908"/>
      <c r="X168" s="922">
        <v>2.1421470442051245</v>
      </c>
      <c r="Y168" s="338">
        <v>7.38</v>
      </c>
      <c r="Z168" s="49"/>
    </row>
    <row r="169" spans="1:26" ht="12.75">
      <c r="A169" s="599" t="s">
        <v>771</v>
      </c>
      <c r="B169" s="908"/>
      <c r="C169" s="908"/>
      <c r="D169" s="908"/>
      <c r="E169" s="908"/>
      <c r="F169" s="908"/>
      <c r="G169" s="908"/>
      <c r="H169" s="908"/>
      <c r="I169" s="908"/>
      <c r="J169" s="908"/>
      <c r="K169" s="908"/>
      <c r="L169" s="908"/>
      <c r="M169" s="908"/>
      <c r="N169" s="908"/>
      <c r="O169" s="908"/>
      <c r="P169" s="908"/>
      <c r="Q169" s="908"/>
      <c r="R169" s="908"/>
      <c r="S169" s="908"/>
      <c r="T169" s="908"/>
      <c r="U169" s="908"/>
      <c r="V169" s="908"/>
      <c r="W169" s="908"/>
      <c r="X169" s="922">
        <v>4.223779265355832</v>
      </c>
      <c r="Y169" s="338">
        <v>6.73</v>
      </c>
      <c r="Z169" s="49"/>
    </row>
    <row r="170" spans="1:26" ht="12.75">
      <c r="A170" s="599" t="s">
        <v>772</v>
      </c>
      <c r="B170" s="908"/>
      <c r="C170" s="908"/>
      <c r="D170" s="908"/>
      <c r="E170" s="908"/>
      <c r="F170" s="908"/>
      <c r="G170" s="908"/>
      <c r="H170" s="908"/>
      <c r="I170" s="908"/>
      <c r="J170" s="908"/>
      <c r="K170" s="908"/>
      <c r="L170" s="908"/>
      <c r="M170" s="908"/>
      <c r="N170" s="908"/>
      <c r="O170" s="908"/>
      <c r="P170" s="908"/>
      <c r="Q170" s="908"/>
      <c r="R170" s="908"/>
      <c r="S170" s="908"/>
      <c r="T170" s="908"/>
      <c r="U170" s="908"/>
      <c r="V170" s="908"/>
      <c r="W170" s="908"/>
      <c r="X170" s="922">
        <v>2.382262544840981</v>
      </c>
      <c r="Y170" s="338">
        <v>8.14</v>
      </c>
      <c r="Z170" s="49"/>
    </row>
    <row r="171" spans="1:26" ht="12.75">
      <c r="A171" s="599" t="s">
        <v>773</v>
      </c>
      <c r="B171" s="908"/>
      <c r="C171" s="908"/>
      <c r="D171" s="908"/>
      <c r="E171" s="908"/>
      <c r="F171" s="908"/>
      <c r="G171" s="908"/>
      <c r="H171" s="908"/>
      <c r="I171" s="908"/>
      <c r="J171" s="908"/>
      <c r="K171" s="908"/>
      <c r="L171" s="908"/>
      <c r="M171" s="908"/>
      <c r="N171" s="908"/>
      <c r="O171" s="908"/>
      <c r="P171" s="908"/>
      <c r="Q171" s="908"/>
      <c r="R171" s="908"/>
      <c r="S171" s="908"/>
      <c r="T171" s="908"/>
      <c r="U171" s="908"/>
      <c r="V171" s="908"/>
      <c r="W171" s="908"/>
      <c r="X171" s="922">
        <v>0.14990882918467807</v>
      </c>
      <c r="Y171" s="338">
        <v>0.13</v>
      </c>
      <c r="Z171" s="49"/>
    </row>
    <row r="172" spans="2:26" ht="12.75">
      <c r="B172" s="590"/>
      <c r="C172" s="590"/>
      <c r="D172" s="590"/>
      <c r="E172" s="590"/>
      <c r="F172" s="590"/>
      <c r="G172" s="590"/>
      <c r="H172" s="590"/>
      <c r="I172" s="590"/>
      <c r="J172" s="590"/>
      <c r="K172" s="590"/>
      <c r="L172" s="590"/>
      <c r="M172" s="590"/>
      <c r="N172" s="590"/>
      <c r="O172" s="590"/>
      <c r="P172" s="590"/>
      <c r="Q172" s="590"/>
      <c r="R172" s="590"/>
      <c r="S172" s="590"/>
      <c r="T172" s="590"/>
      <c r="U172" s="590"/>
      <c r="V172" s="590"/>
      <c r="W172" s="590"/>
      <c r="X172" s="51"/>
      <c r="Z172" s="49"/>
    </row>
    <row r="173" spans="1:26" ht="12.75">
      <c r="A173" s="8" t="s">
        <v>892</v>
      </c>
      <c r="B173" s="590"/>
      <c r="C173" s="590"/>
      <c r="D173" s="590"/>
      <c r="E173" s="590"/>
      <c r="F173" s="590"/>
      <c r="G173" s="590"/>
      <c r="H173" s="590"/>
      <c r="I173" s="590"/>
      <c r="J173" s="590"/>
      <c r="K173" s="590"/>
      <c r="L173" s="590"/>
      <c r="M173" s="590"/>
      <c r="N173" s="590"/>
      <c r="O173" s="590"/>
      <c r="P173" s="590"/>
      <c r="Q173" s="590"/>
      <c r="R173" s="590"/>
      <c r="S173" s="590"/>
      <c r="T173" s="590"/>
      <c r="U173" s="590"/>
      <c r="V173" s="590"/>
      <c r="W173" s="590"/>
      <c r="X173" s="923">
        <f>SUM(X174:X187)</f>
        <v>213.1539772522084</v>
      </c>
      <c r="Y173" s="1232">
        <f>SUM(Y174:Y187)</f>
        <v>706.483257142857</v>
      </c>
      <c r="Z173" s="597"/>
    </row>
    <row r="174" spans="1:26" ht="12.75">
      <c r="A174" s="13" t="s">
        <v>126</v>
      </c>
      <c r="B174" s="590"/>
      <c r="C174" s="590"/>
      <c r="D174" s="590"/>
      <c r="E174" s="590"/>
      <c r="F174" s="590"/>
      <c r="G174" s="590"/>
      <c r="H174" s="590"/>
      <c r="I174" s="590"/>
      <c r="J174" s="590"/>
      <c r="K174" s="590"/>
      <c r="L174" s="590"/>
      <c r="M174" s="590"/>
      <c r="N174" s="590"/>
      <c r="O174" s="590"/>
      <c r="P174" s="590"/>
      <c r="Q174" s="590"/>
      <c r="R174" s="590"/>
      <c r="S174" s="590"/>
      <c r="T174" s="590"/>
      <c r="U174" s="590"/>
      <c r="V174" s="590"/>
      <c r="W174" s="590"/>
      <c r="X174" s="51">
        <f>ProteinCurrent!V9</f>
        <v>57.186245838679845</v>
      </c>
      <c r="Y174" s="301">
        <v>388.892</v>
      </c>
      <c r="Z174" s="49"/>
    </row>
    <row r="175" spans="1:26" ht="12.75">
      <c r="A175" s="13" t="s">
        <v>127</v>
      </c>
      <c r="B175" s="590"/>
      <c r="C175" s="590"/>
      <c r="D175" s="590"/>
      <c r="E175" s="590"/>
      <c r="F175" s="590"/>
      <c r="G175" s="590"/>
      <c r="H175" s="590"/>
      <c r="I175" s="590"/>
      <c r="J175" s="590"/>
      <c r="K175" s="590"/>
      <c r="L175" s="590"/>
      <c r="M175" s="590"/>
      <c r="N175" s="590"/>
      <c r="O175" s="590"/>
      <c r="P175" s="590"/>
      <c r="Q175" s="590"/>
      <c r="R175" s="590"/>
      <c r="S175" s="590"/>
      <c r="T175" s="590"/>
      <c r="U175" s="590"/>
      <c r="V175" s="590"/>
      <c r="W175" s="590"/>
      <c r="X175" s="51">
        <f>ProteinCurrent!V13</f>
        <v>0.6546845040243008</v>
      </c>
      <c r="Y175" s="301">
        <v>2.353</v>
      </c>
      <c r="Z175" s="49"/>
    </row>
    <row r="176" spans="1:26" ht="12.75">
      <c r="A176" s="13" t="s">
        <v>128</v>
      </c>
      <c r="B176" s="590"/>
      <c r="C176" s="590"/>
      <c r="D176" s="590"/>
      <c r="E176" s="590"/>
      <c r="F176" s="590"/>
      <c r="G176" s="590"/>
      <c r="H176" s="590"/>
      <c r="I176" s="590"/>
      <c r="J176" s="590"/>
      <c r="K176" s="590"/>
      <c r="L176" s="590"/>
      <c r="M176" s="590"/>
      <c r="N176" s="590"/>
      <c r="O176" s="590"/>
      <c r="P176" s="590"/>
      <c r="Q176" s="590"/>
      <c r="R176" s="590"/>
      <c r="S176" s="590"/>
      <c r="T176" s="590"/>
      <c r="U176" s="590"/>
      <c r="V176" s="590"/>
      <c r="W176" s="590"/>
      <c r="X176" s="51">
        <f>ProteinCurrent!V12</f>
        <v>38.823009840753514</v>
      </c>
      <c r="Y176" s="301">
        <v>69.15505714285715</v>
      </c>
      <c r="Z176" s="49"/>
    </row>
    <row r="177" spans="1:26" ht="12.75">
      <c r="A177" s="13" t="s">
        <v>131</v>
      </c>
      <c r="B177" s="590"/>
      <c r="C177" s="590"/>
      <c r="D177" s="590"/>
      <c r="E177" s="590"/>
      <c r="F177" s="590"/>
      <c r="G177" s="590"/>
      <c r="H177" s="590"/>
      <c r="I177" s="590"/>
      <c r="J177" s="590"/>
      <c r="K177" s="590"/>
      <c r="L177" s="590"/>
      <c r="M177" s="590"/>
      <c r="N177" s="590"/>
      <c r="O177" s="590"/>
      <c r="P177" s="590"/>
      <c r="Q177" s="590"/>
      <c r="R177" s="590"/>
      <c r="S177" s="590"/>
      <c r="T177" s="590"/>
      <c r="U177" s="590"/>
      <c r="V177" s="590"/>
      <c r="W177" s="590"/>
      <c r="X177" s="51">
        <f>ProteinCurrent!V16</f>
        <v>23.632304269674115</v>
      </c>
      <c r="Y177" s="301">
        <v>35.2087</v>
      </c>
      <c r="Z177" s="49"/>
    </row>
    <row r="178" spans="1:26" ht="12.75">
      <c r="A178" s="13" t="s">
        <v>129</v>
      </c>
      <c r="B178" s="590"/>
      <c r="C178" s="590"/>
      <c r="D178" s="590"/>
      <c r="E178" s="590"/>
      <c r="F178" s="590"/>
      <c r="G178" s="590"/>
      <c r="H178" s="590"/>
      <c r="I178" s="590"/>
      <c r="J178" s="590"/>
      <c r="K178" s="590"/>
      <c r="L178" s="590"/>
      <c r="M178" s="590"/>
      <c r="N178" s="590"/>
      <c r="O178" s="590"/>
      <c r="P178" s="590"/>
      <c r="Q178" s="590"/>
      <c r="R178" s="590"/>
      <c r="S178" s="590"/>
      <c r="T178" s="590"/>
      <c r="U178" s="590"/>
      <c r="V178" s="590"/>
      <c r="W178" s="590"/>
      <c r="X178" s="51">
        <f>ProteinCurrent!V14</f>
        <v>59.54513030806508</v>
      </c>
      <c r="Y178" s="301">
        <v>114.73299999999999</v>
      </c>
      <c r="Z178" s="49"/>
    </row>
    <row r="179" spans="1:26" ht="12.75">
      <c r="A179" s="13" t="s">
        <v>130</v>
      </c>
      <c r="B179" s="590"/>
      <c r="C179" s="590"/>
      <c r="D179" s="590"/>
      <c r="E179" s="590"/>
      <c r="F179" s="590"/>
      <c r="G179" s="590"/>
      <c r="H179" s="590"/>
      <c r="I179" s="590"/>
      <c r="J179" s="590"/>
      <c r="K179" s="590"/>
      <c r="L179" s="590"/>
      <c r="M179" s="590"/>
      <c r="N179" s="590"/>
      <c r="O179" s="590"/>
      <c r="P179" s="590"/>
      <c r="Q179" s="590"/>
      <c r="R179" s="590"/>
      <c r="S179" s="590"/>
      <c r="T179" s="590"/>
      <c r="U179" s="590"/>
      <c r="V179" s="590"/>
      <c r="W179" s="590"/>
      <c r="X179" s="51">
        <f>ProteinCurrent!V15</f>
        <v>10.478400020773567</v>
      </c>
      <c r="Y179" s="301">
        <v>16.663200000000003</v>
      </c>
      <c r="Z179" s="49"/>
    </row>
    <row r="180" spans="1:26" ht="12.75">
      <c r="A180" s="13" t="s">
        <v>308</v>
      </c>
      <c r="B180" s="590"/>
      <c r="C180" s="590"/>
      <c r="D180" s="590"/>
      <c r="E180" s="590"/>
      <c r="F180" s="590"/>
      <c r="G180" s="590"/>
      <c r="H180" s="590"/>
      <c r="I180" s="590"/>
      <c r="J180" s="590"/>
      <c r="K180" s="590"/>
      <c r="L180" s="590"/>
      <c r="M180" s="590"/>
      <c r="N180" s="590"/>
      <c r="O180" s="590"/>
      <c r="P180" s="590"/>
      <c r="Q180" s="590"/>
      <c r="R180" s="590"/>
      <c r="S180" s="590"/>
      <c r="T180" s="590"/>
      <c r="U180" s="590"/>
      <c r="V180" s="590"/>
      <c r="W180" s="590"/>
      <c r="X180" s="51">
        <f>ProteinCurrent!V17</f>
        <v>12.049285842828834</v>
      </c>
      <c r="Y180" s="301">
        <v>16.85</v>
      </c>
      <c r="Z180" s="49"/>
    </row>
    <row r="181" spans="1:26" ht="12.75">
      <c r="A181" s="13" t="s">
        <v>901</v>
      </c>
      <c r="B181" s="590"/>
      <c r="C181" s="590"/>
      <c r="D181" s="590"/>
      <c r="E181" s="590"/>
      <c r="F181" s="590"/>
      <c r="G181" s="590"/>
      <c r="H181" s="590"/>
      <c r="I181" s="590"/>
      <c r="J181" s="590"/>
      <c r="K181" s="590"/>
      <c r="L181" s="590"/>
      <c r="M181" s="590"/>
      <c r="N181" s="590"/>
      <c r="O181" s="590"/>
      <c r="P181" s="590"/>
      <c r="Q181" s="590"/>
      <c r="R181" s="590"/>
      <c r="S181" s="590"/>
      <c r="T181" s="590"/>
      <c r="U181" s="590"/>
      <c r="V181" s="590"/>
      <c r="W181" s="590"/>
      <c r="X181" s="920" t="s">
        <v>799</v>
      </c>
      <c r="Y181" s="1234" t="s">
        <v>799</v>
      </c>
      <c r="Z181" s="49"/>
    </row>
    <row r="182" spans="1:26" ht="12.75">
      <c r="A182" s="13" t="s">
        <v>258</v>
      </c>
      <c r="B182" s="590"/>
      <c r="C182" s="590"/>
      <c r="D182" s="590"/>
      <c r="E182" s="590"/>
      <c r="F182" s="590"/>
      <c r="G182" s="590"/>
      <c r="H182" s="590"/>
      <c r="I182" s="590"/>
      <c r="J182" s="590"/>
      <c r="K182" s="590"/>
      <c r="L182" s="590"/>
      <c r="M182" s="590"/>
      <c r="N182" s="590"/>
      <c r="O182" s="590"/>
      <c r="P182" s="590"/>
      <c r="Q182" s="590"/>
      <c r="R182" s="590"/>
      <c r="S182" s="590"/>
      <c r="T182" s="590"/>
      <c r="U182" s="590"/>
      <c r="V182" s="590"/>
      <c r="W182" s="590"/>
      <c r="X182" s="920" t="s">
        <v>146</v>
      </c>
      <c r="Y182" s="1234" t="s">
        <v>146</v>
      </c>
      <c r="Z182" s="49"/>
    </row>
    <row r="183" spans="1:26" ht="12.75">
      <c r="A183" s="13" t="s">
        <v>133</v>
      </c>
      <c r="B183" s="590"/>
      <c r="C183" s="590"/>
      <c r="D183" s="590"/>
      <c r="E183" s="590"/>
      <c r="F183" s="590"/>
      <c r="G183" s="590"/>
      <c r="H183" s="590"/>
      <c r="I183" s="590"/>
      <c r="J183" s="590"/>
      <c r="K183" s="590"/>
      <c r="L183" s="590"/>
      <c r="M183" s="590"/>
      <c r="N183" s="590"/>
      <c r="O183" s="590"/>
      <c r="P183" s="590"/>
      <c r="Q183" s="590"/>
      <c r="R183" s="590"/>
      <c r="S183" s="590"/>
      <c r="T183" s="590"/>
      <c r="U183" s="590"/>
      <c r="V183" s="590"/>
      <c r="W183" s="590"/>
      <c r="X183" s="51">
        <f>ProteinCurrent!V19</f>
        <v>7.321054921184361</v>
      </c>
      <c r="Y183" s="301">
        <v>41.504400000000004</v>
      </c>
      <c r="Z183" s="49"/>
    </row>
    <row r="184" spans="1:26" ht="12.75">
      <c r="A184" s="13" t="s">
        <v>752</v>
      </c>
      <c r="B184" s="590"/>
      <c r="C184" s="590"/>
      <c r="D184" s="590"/>
      <c r="E184" s="590"/>
      <c r="F184" s="590"/>
      <c r="G184" s="590"/>
      <c r="H184" s="590"/>
      <c r="I184" s="590"/>
      <c r="J184" s="590"/>
      <c r="K184" s="590"/>
      <c r="L184" s="590"/>
      <c r="M184" s="590"/>
      <c r="N184" s="590"/>
      <c r="O184" s="590"/>
      <c r="P184" s="590"/>
      <c r="Q184" s="590"/>
      <c r="R184" s="590"/>
      <c r="S184" s="590"/>
      <c r="T184" s="590"/>
      <c r="U184" s="590"/>
      <c r="V184" s="590"/>
      <c r="W184" s="590"/>
      <c r="X184" s="51">
        <f>ProteinCurrent!V21</f>
        <v>1.21636033594582</v>
      </c>
      <c r="Y184" s="301">
        <v>7.015</v>
      </c>
      <c r="Z184" s="49"/>
    </row>
    <row r="185" spans="1:26" ht="12.75">
      <c r="A185" s="13" t="s">
        <v>755</v>
      </c>
      <c r="B185" s="590"/>
      <c r="C185" s="590"/>
      <c r="D185" s="590"/>
      <c r="E185" s="590"/>
      <c r="F185" s="590"/>
      <c r="G185" s="590"/>
      <c r="H185" s="590"/>
      <c r="I185" s="590"/>
      <c r="J185" s="590"/>
      <c r="K185" s="590"/>
      <c r="L185" s="590"/>
      <c r="M185" s="590"/>
      <c r="N185" s="590"/>
      <c r="O185" s="590"/>
      <c r="P185" s="590"/>
      <c r="Q185" s="590"/>
      <c r="R185" s="590"/>
      <c r="S185" s="590"/>
      <c r="T185" s="590"/>
      <c r="U185" s="590"/>
      <c r="V185" s="590"/>
      <c r="W185" s="590"/>
      <c r="X185" s="51">
        <f>ProteinCurrent!V22</f>
        <v>0.48042007673720494</v>
      </c>
      <c r="Y185" s="301">
        <v>3.1392</v>
      </c>
      <c r="Z185" s="49"/>
    </row>
    <row r="186" spans="1:26" ht="12.75">
      <c r="A186" s="13" t="s">
        <v>754</v>
      </c>
      <c r="B186" s="590"/>
      <c r="C186" s="590"/>
      <c r="D186" s="590"/>
      <c r="E186" s="590"/>
      <c r="F186" s="590"/>
      <c r="G186" s="590"/>
      <c r="H186" s="590"/>
      <c r="I186" s="590"/>
      <c r="J186" s="590"/>
      <c r="K186" s="590"/>
      <c r="L186" s="590"/>
      <c r="M186" s="590"/>
      <c r="N186" s="590"/>
      <c r="O186" s="590"/>
      <c r="P186" s="590"/>
      <c r="Q186" s="590"/>
      <c r="R186" s="590"/>
      <c r="S186" s="590"/>
      <c r="T186" s="590"/>
      <c r="U186" s="590"/>
      <c r="V186" s="590"/>
      <c r="W186" s="590"/>
      <c r="X186" s="51">
        <f>ProteinCurrent!V23</f>
        <v>0.4650250044141527</v>
      </c>
      <c r="Y186" s="301">
        <v>3.2477</v>
      </c>
      <c r="Z186" s="49"/>
    </row>
    <row r="187" spans="1:26" ht="12.75">
      <c r="A187" s="13" t="s">
        <v>758</v>
      </c>
      <c r="B187" s="908"/>
      <c r="C187" s="908"/>
      <c r="D187" s="908"/>
      <c r="E187" s="908"/>
      <c r="F187" s="908"/>
      <c r="G187" s="908"/>
      <c r="H187" s="908"/>
      <c r="I187" s="908"/>
      <c r="J187" s="908"/>
      <c r="K187" s="908"/>
      <c r="L187" s="908"/>
      <c r="M187" s="908"/>
      <c r="N187" s="908"/>
      <c r="O187" s="908"/>
      <c r="P187" s="908"/>
      <c r="Q187" s="908"/>
      <c r="R187" s="908"/>
      <c r="S187" s="908"/>
      <c r="T187" s="908"/>
      <c r="U187" s="908"/>
      <c r="V187" s="908"/>
      <c r="W187" s="908"/>
      <c r="X187" s="922">
        <f>SUM(ProteinCurrent!V24:V27)</f>
        <v>1.3020562891276506</v>
      </c>
      <c r="Y187" s="301">
        <v>7.722</v>
      </c>
      <c r="Z187" s="49"/>
    </row>
    <row r="188" spans="2:26" ht="12.75">
      <c r="B188" s="590"/>
      <c r="C188" s="590"/>
      <c r="D188" s="590"/>
      <c r="E188" s="590"/>
      <c r="F188" s="590"/>
      <c r="G188" s="590"/>
      <c r="H188" s="590"/>
      <c r="I188" s="590"/>
      <c r="J188" s="590"/>
      <c r="K188" s="590"/>
      <c r="L188" s="590"/>
      <c r="M188" s="590"/>
      <c r="N188" s="590"/>
      <c r="O188" s="590"/>
      <c r="P188" s="590"/>
      <c r="Q188" s="590"/>
      <c r="R188" s="590"/>
      <c r="S188" s="590"/>
      <c r="T188" s="590"/>
      <c r="U188" s="590"/>
      <c r="V188" s="590"/>
      <c r="W188" s="590"/>
      <c r="X188" s="51"/>
      <c r="Z188" s="49"/>
    </row>
    <row r="189" spans="1:28" ht="12.75">
      <c r="A189" s="8" t="s">
        <v>1386</v>
      </c>
      <c r="B189" s="590"/>
      <c r="C189" s="590"/>
      <c r="D189" s="590"/>
      <c r="E189" s="590"/>
      <c r="F189" s="590"/>
      <c r="G189" s="590"/>
      <c r="H189" s="590"/>
      <c r="I189" s="590"/>
      <c r="J189" s="590"/>
      <c r="K189" s="590"/>
      <c r="L189" s="590"/>
      <c r="M189" s="590"/>
      <c r="N189" s="590"/>
      <c r="O189" s="590"/>
      <c r="P189" s="590"/>
      <c r="Q189" s="590"/>
      <c r="R189" s="590"/>
      <c r="S189" s="590"/>
      <c r="T189" s="590"/>
      <c r="U189" s="590"/>
      <c r="V189" s="590"/>
      <c r="W189" s="590"/>
      <c r="X189" s="923">
        <f>SUM(X190:X195)</f>
        <v>62.84086622207751</v>
      </c>
      <c r="Y189" s="1232">
        <f>SUM(Y190:Y195)</f>
        <v>532.809</v>
      </c>
      <c r="Z189" s="597"/>
      <c r="AA189" s="1248"/>
      <c r="AB189" s="1249"/>
    </row>
    <row r="190" spans="1:26" ht="12.75">
      <c r="A190" s="394" t="s">
        <v>767</v>
      </c>
      <c r="B190" s="590"/>
      <c r="C190" s="590"/>
      <c r="D190" s="590"/>
      <c r="E190" s="590"/>
      <c r="F190" s="590"/>
      <c r="G190" s="590"/>
      <c r="H190" s="590"/>
      <c r="I190" s="590"/>
      <c r="J190" s="590"/>
      <c r="K190" s="590"/>
      <c r="L190" s="590"/>
      <c r="M190" s="590"/>
      <c r="N190" s="590"/>
      <c r="O190" s="590"/>
      <c r="P190" s="590"/>
      <c r="Q190" s="590"/>
      <c r="R190" s="590"/>
      <c r="S190" s="590"/>
      <c r="T190" s="590"/>
      <c r="U190" s="590"/>
      <c r="V190" s="590"/>
      <c r="W190" s="590"/>
      <c r="X190" s="1254">
        <v>42.290000000000006</v>
      </c>
      <c r="Y190" s="1255">
        <v>373.70579999999995</v>
      </c>
      <c r="Z190" s="49"/>
    </row>
    <row r="191" spans="1:26" ht="12.75">
      <c r="A191" s="394" t="s">
        <v>83</v>
      </c>
      <c r="B191" s="590"/>
      <c r="C191" s="590"/>
      <c r="D191" s="590"/>
      <c r="E191" s="590"/>
      <c r="F191" s="590"/>
      <c r="G191" s="590"/>
      <c r="H191" s="590"/>
      <c r="I191" s="590"/>
      <c r="J191" s="590"/>
      <c r="K191" s="590"/>
      <c r="L191" s="590"/>
      <c r="M191" s="590"/>
      <c r="N191" s="590"/>
      <c r="O191" s="590"/>
      <c r="P191" s="590"/>
      <c r="Q191" s="590"/>
      <c r="R191" s="590"/>
      <c r="S191" s="590"/>
      <c r="T191" s="590"/>
      <c r="U191" s="590"/>
      <c r="V191" s="590"/>
      <c r="W191" s="590"/>
      <c r="X191" s="51">
        <v>3.6408662220775008</v>
      </c>
      <c r="Y191" s="301">
        <v>26.0988</v>
      </c>
      <c r="Z191" s="49"/>
    </row>
    <row r="192" spans="1:26" ht="12" customHeight="1">
      <c r="A192" s="328" t="s">
        <v>763</v>
      </c>
      <c r="B192" s="908"/>
      <c r="C192" s="908"/>
      <c r="D192" s="908"/>
      <c r="E192" s="908"/>
      <c r="F192" s="908"/>
      <c r="G192" s="908"/>
      <c r="H192" s="908"/>
      <c r="I192" s="908"/>
      <c r="J192" s="908"/>
      <c r="K192" s="908"/>
      <c r="L192" s="908"/>
      <c r="M192" s="908"/>
      <c r="N192" s="908"/>
      <c r="O192" s="908"/>
      <c r="P192" s="908"/>
      <c r="Q192" s="908"/>
      <c r="R192" s="908"/>
      <c r="S192" s="908"/>
      <c r="T192" s="908"/>
      <c r="U192" s="908"/>
      <c r="V192" s="908"/>
      <c r="W192" s="908"/>
      <c r="X192" s="984">
        <v>3.08</v>
      </c>
      <c r="Y192">
        <v>10.441200000000002</v>
      </c>
      <c r="Z192" s="49"/>
    </row>
    <row r="193" spans="1:26" ht="12.75">
      <c r="A193" s="328" t="s">
        <v>766</v>
      </c>
      <c r="B193" s="908"/>
      <c r="C193" s="908"/>
      <c r="D193" s="908"/>
      <c r="E193" s="908"/>
      <c r="F193" s="908"/>
      <c r="G193" s="908"/>
      <c r="H193" s="908"/>
      <c r="I193" s="908"/>
      <c r="J193" s="908"/>
      <c r="K193" s="908"/>
      <c r="L193" s="908"/>
      <c r="M193" s="908"/>
      <c r="N193" s="908"/>
      <c r="O193" s="908"/>
      <c r="P193" s="908"/>
      <c r="Q193" s="908"/>
      <c r="R193" s="908"/>
      <c r="S193" s="908"/>
      <c r="T193" s="908"/>
      <c r="U193" s="908"/>
      <c r="V193" s="908"/>
      <c r="W193" s="908"/>
      <c r="X193" s="984">
        <v>12.13</v>
      </c>
      <c r="Y193">
        <v>107.2292</v>
      </c>
      <c r="Z193" s="49"/>
    </row>
    <row r="194" spans="1:26" ht="12.75">
      <c r="A194" s="328" t="s">
        <v>764</v>
      </c>
      <c r="B194" s="908"/>
      <c r="C194" s="908"/>
      <c r="D194" s="908"/>
      <c r="E194" s="908"/>
      <c r="F194" s="908"/>
      <c r="G194" s="908"/>
      <c r="H194" s="908"/>
      <c r="I194" s="908"/>
      <c r="J194" s="908"/>
      <c r="K194" s="908"/>
      <c r="L194" s="908"/>
      <c r="M194" s="908"/>
      <c r="N194" s="908"/>
      <c r="O194" s="908"/>
      <c r="P194" s="908"/>
      <c r="Q194" s="908"/>
      <c r="R194" s="908"/>
      <c r="S194" s="908"/>
      <c r="T194" s="908"/>
      <c r="U194" s="908"/>
      <c r="V194" s="908"/>
      <c r="W194" s="908"/>
      <c r="X194" s="984">
        <v>0.59</v>
      </c>
      <c r="Y194">
        <v>5.3218</v>
      </c>
      <c r="Z194" s="49"/>
    </row>
    <row r="195" spans="1:26" ht="12.75">
      <c r="A195" s="328" t="s">
        <v>898</v>
      </c>
      <c r="B195" s="908"/>
      <c r="C195" s="908"/>
      <c r="D195" s="908"/>
      <c r="E195" s="908"/>
      <c r="F195" s="908"/>
      <c r="G195" s="908"/>
      <c r="H195" s="908"/>
      <c r="I195" s="908"/>
      <c r="J195" s="908"/>
      <c r="K195" s="908"/>
      <c r="L195" s="908"/>
      <c r="M195" s="908"/>
      <c r="N195" s="908"/>
      <c r="O195" s="908"/>
      <c r="P195" s="908"/>
      <c r="Q195" s="908"/>
      <c r="R195" s="908"/>
      <c r="S195" s="908"/>
      <c r="T195" s="908"/>
      <c r="U195" s="908"/>
      <c r="V195" s="908"/>
      <c r="W195" s="908"/>
      <c r="X195" s="984">
        <v>1.11</v>
      </c>
      <c r="Y195">
        <v>10.012200000000002</v>
      </c>
      <c r="Z195" s="49"/>
    </row>
    <row r="196" spans="1:23" ht="12.75">
      <c r="A196" s="8"/>
      <c r="B196" s="590"/>
      <c r="C196" s="590"/>
      <c r="D196" s="590"/>
      <c r="E196" s="590"/>
      <c r="F196" s="590"/>
      <c r="G196" s="590"/>
      <c r="H196" s="590"/>
      <c r="I196" s="590"/>
      <c r="J196" s="590"/>
      <c r="K196" s="590"/>
      <c r="L196" s="590"/>
      <c r="M196" s="590"/>
      <c r="N196" s="590"/>
      <c r="O196" s="590"/>
      <c r="P196" s="590"/>
      <c r="Q196" s="590"/>
      <c r="R196" s="590"/>
      <c r="S196" s="590"/>
      <c r="T196" s="590"/>
      <c r="U196" s="590"/>
      <c r="V196" s="590"/>
      <c r="W196" s="590"/>
    </row>
    <row r="197" spans="1:26" ht="12.75">
      <c r="A197" s="8" t="s">
        <v>9</v>
      </c>
      <c r="B197" s="590"/>
      <c r="C197" s="590"/>
      <c r="D197" s="590"/>
      <c r="E197" s="590"/>
      <c r="F197" s="590"/>
      <c r="G197" s="590"/>
      <c r="H197" s="590"/>
      <c r="I197" s="590"/>
      <c r="J197" s="590"/>
      <c r="K197" s="590"/>
      <c r="L197" s="590"/>
      <c r="M197" s="590"/>
      <c r="N197" s="590"/>
      <c r="O197" s="590"/>
      <c r="P197" s="590"/>
      <c r="Q197" s="590"/>
      <c r="R197" s="590"/>
      <c r="S197" s="590"/>
      <c r="T197" s="590"/>
      <c r="U197" s="590"/>
      <c r="V197" s="590"/>
      <c r="W197" s="590"/>
      <c r="X197" s="602">
        <f>SUM(X198:X202)</f>
        <v>98.38127648650428</v>
      </c>
      <c r="Y197" s="1232">
        <f>SUM(Y198:Y202)</f>
        <v>325.7325</v>
      </c>
      <c r="Z197" s="591"/>
    </row>
    <row r="198" spans="1:26" ht="12.75">
      <c r="A198" s="13" t="s">
        <v>900</v>
      </c>
      <c r="B198" s="590"/>
      <c r="C198" s="590"/>
      <c r="D198" s="590"/>
      <c r="E198" s="590"/>
      <c r="F198" s="590"/>
      <c r="G198" s="590"/>
      <c r="H198" s="590"/>
      <c r="I198" s="590"/>
      <c r="J198" s="590"/>
      <c r="K198" s="590"/>
      <c r="L198" s="590"/>
      <c r="M198" s="590"/>
      <c r="N198" s="590"/>
      <c r="O198" s="590"/>
      <c r="P198" s="590"/>
      <c r="Q198" s="590"/>
      <c r="R198" s="590"/>
      <c r="S198" s="590"/>
      <c r="T198" s="590"/>
      <c r="U198" s="590"/>
      <c r="V198" s="590"/>
      <c r="W198" s="590"/>
      <c r="X198" s="51">
        <f>SugarsCurrent!V8</f>
        <v>46.345854586235205</v>
      </c>
      <c r="Y198" s="301">
        <v>179.3745</v>
      </c>
      <c r="Z198" s="14"/>
    </row>
    <row r="199" spans="1:26" ht="12.75">
      <c r="A199" s="13" t="s">
        <v>458</v>
      </c>
      <c r="B199" s="590"/>
      <c r="C199" s="590"/>
      <c r="D199" s="590"/>
      <c r="E199" s="590"/>
      <c r="F199" s="590"/>
      <c r="G199" s="590"/>
      <c r="H199" s="590"/>
      <c r="I199" s="590"/>
      <c r="J199" s="590"/>
      <c r="K199" s="590"/>
      <c r="L199" s="590"/>
      <c r="M199" s="590"/>
      <c r="N199" s="590"/>
      <c r="O199" s="590"/>
      <c r="P199" s="590"/>
      <c r="Q199" s="590"/>
      <c r="R199" s="590"/>
      <c r="S199" s="590"/>
      <c r="T199" s="590"/>
      <c r="U199" s="590"/>
      <c r="V199" s="590"/>
      <c r="W199" s="590"/>
      <c r="X199" s="51">
        <f>SugarsCurrent!V11</f>
        <v>0.9469222506772889</v>
      </c>
      <c r="Y199" s="301">
        <v>2.888</v>
      </c>
      <c r="Z199" s="14"/>
    </row>
    <row r="200" spans="1:26" ht="12.75">
      <c r="A200" s="13" t="s">
        <v>782</v>
      </c>
      <c r="B200" s="590"/>
      <c r="C200" s="590"/>
      <c r="D200" s="590"/>
      <c r="E200" s="590"/>
      <c r="F200" s="590"/>
      <c r="G200" s="590"/>
      <c r="H200" s="590"/>
      <c r="I200" s="590"/>
      <c r="J200" s="590"/>
      <c r="K200" s="590"/>
      <c r="L200" s="590"/>
      <c r="M200" s="590"/>
      <c r="N200" s="590"/>
      <c r="O200" s="590"/>
      <c r="P200" s="590"/>
      <c r="Q200" s="590"/>
      <c r="R200" s="590"/>
      <c r="S200" s="590"/>
      <c r="T200" s="590"/>
      <c r="U200" s="590"/>
      <c r="V200" s="590"/>
      <c r="W200" s="590"/>
      <c r="X200" s="1259">
        <f>SugarsCurrent!V10</f>
        <v>0.42332800646549995</v>
      </c>
      <c r="Y200" s="1261">
        <v>1.09</v>
      </c>
      <c r="Z200" s="14"/>
    </row>
    <row r="201" spans="1:26" ht="12.75">
      <c r="A201" s="13" t="s">
        <v>471</v>
      </c>
      <c r="B201" s="590"/>
      <c r="C201" s="590"/>
      <c r="D201" s="590"/>
      <c r="E201" s="590"/>
      <c r="F201" s="590"/>
      <c r="G201" s="590"/>
      <c r="H201" s="590"/>
      <c r="I201" s="590"/>
      <c r="J201" s="590"/>
      <c r="K201" s="590"/>
      <c r="L201" s="590"/>
      <c r="M201" s="590"/>
      <c r="N201" s="590"/>
      <c r="O201" s="590"/>
      <c r="P201" s="590"/>
      <c r="Q201" s="590"/>
      <c r="R201" s="590"/>
      <c r="S201" s="590"/>
      <c r="T201" s="590"/>
      <c r="U201" s="590"/>
      <c r="V201" s="590"/>
      <c r="W201" s="590"/>
      <c r="X201" s="1259"/>
      <c r="Y201" s="1261"/>
      <c r="Z201" s="14"/>
    </row>
    <row r="202" spans="1:26" ht="12.75">
      <c r="A202" s="13" t="s">
        <v>787</v>
      </c>
      <c r="B202" s="908"/>
      <c r="C202" s="908"/>
      <c r="D202" s="908"/>
      <c r="E202" s="908"/>
      <c r="F202" s="908"/>
      <c r="G202" s="908"/>
      <c r="H202" s="908"/>
      <c r="I202" s="908"/>
      <c r="J202" s="908"/>
      <c r="K202" s="908"/>
      <c r="L202" s="908"/>
      <c r="M202" s="908"/>
      <c r="N202" s="908"/>
      <c r="O202" s="908"/>
      <c r="P202" s="908"/>
      <c r="Q202" s="908"/>
      <c r="R202" s="908"/>
      <c r="S202" s="908"/>
      <c r="T202" s="908"/>
      <c r="U202" s="908"/>
      <c r="V202" s="908"/>
      <c r="W202" s="908"/>
      <c r="X202" s="922">
        <f>SugarsCurrent!V17</f>
        <v>50.66517164312627</v>
      </c>
      <c r="Y202" s="338">
        <v>142.38</v>
      </c>
      <c r="Z202" s="14"/>
    </row>
    <row r="203" spans="2:26" ht="12.75">
      <c r="B203" s="908"/>
      <c r="C203" s="908"/>
      <c r="D203" s="908"/>
      <c r="E203" s="908"/>
      <c r="F203" s="908"/>
      <c r="G203" s="908"/>
      <c r="H203" s="908"/>
      <c r="I203" s="908"/>
      <c r="J203" s="908"/>
      <c r="K203" s="908"/>
      <c r="L203" s="908"/>
      <c r="M203" s="908"/>
      <c r="N203" s="908"/>
      <c r="O203" s="908"/>
      <c r="P203" s="908"/>
      <c r="Q203" s="908"/>
      <c r="R203" s="908"/>
      <c r="S203" s="908"/>
      <c r="T203" s="908"/>
      <c r="U203" s="908"/>
      <c r="V203" s="908"/>
      <c r="W203" s="908"/>
      <c r="X203" s="922"/>
      <c r="Y203" s="338"/>
      <c r="Z203" s="14"/>
    </row>
    <row r="204" spans="1:26" ht="12.75">
      <c r="A204" s="1240" t="s">
        <v>1385</v>
      </c>
      <c r="B204" s="908"/>
      <c r="C204" s="908"/>
      <c r="D204" s="908"/>
      <c r="E204" s="908"/>
      <c r="F204" s="908"/>
      <c r="G204" s="908"/>
      <c r="H204" s="908"/>
      <c r="I204" s="908"/>
      <c r="J204" s="908"/>
      <c r="K204" s="908"/>
      <c r="L204" s="908"/>
      <c r="M204" s="908"/>
      <c r="N204" s="908"/>
      <c r="O204" s="908"/>
      <c r="P204" s="908"/>
      <c r="Q204" s="908"/>
      <c r="R204" s="908"/>
      <c r="S204" s="908"/>
      <c r="T204" s="908"/>
      <c r="U204" s="908"/>
      <c r="V204" s="908"/>
      <c r="W204" s="908"/>
      <c r="X204" s="282">
        <v>13.18</v>
      </c>
      <c r="Y204" s="382">
        <v>41.31</v>
      </c>
      <c r="Z204" s="14"/>
    </row>
    <row r="205" ht="12.75">
      <c r="AB205" s="878"/>
    </row>
    <row r="206" spans="1:28" ht="12.75">
      <c r="A206" s="901" t="s">
        <v>911</v>
      </c>
      <c r="B206" s="902"/>
      <c r="C206" s="902"/>
      <c r="D206" s="902"/>
      <c r="E206" s="902"/>
      <c r="F206" s="902"/>
      <c r="G206" s="902"/>
      <c r="H206" s="902"/>
      <c r="I206" s="902"/>
      <c r="J206" s="902"/>
      <c r="K206" s="902"/>
      <c r="L206" s="902"/>
      <c r="M206" s="902"/>
      <c r="N206" s="902"/>
      <c r="O206" s="902"/>
      <c r="P206" s="902"/>
      <c r="Q206" s="902"/>
      <c r="R206" s="902"/>
      <c r="S206" s="902"/>
      <c r="T206" s="902"/>
      <c r="U206" s="902"/>
      <c r="V206" s="902"/>
      <c r="W206" s="902"/>
      <c r="X206" s="924">
        <f>SUM(X207:X209)</f>
        <v>264</v>
      </c>
      <c r="Y206" s="1236">
        <f>SUM(Y207:Y209)</f>
        <v>134.215</v>
      </c>
      <c r="Z206" s="904"/>
      <c r="AA206" s="1250"/>
      <c r="AB206" s="883"/>
    </row>
    <row r="207" spans="1:28" ht="12.75">
      <c r="A207" s="903" t="s">
        <v>4</v>
      </c>
      <c r="B207" s="4"/>
      <c r="C207" s="4"/>
      <c r="D207" s="4"/>
      <c r="E207" s="4"/>
      <c r="F207" s="4"/>
      <c r="G207" s="4"/>
      <c r="H207" s="4"/>
      <c r="I207" s="4"/>
      <c r="J207" s="4"/>
      <c r="K207" s="4"/>
      <c r="L207" s="4"/>
      <c r="M207" s="4"/>
      <c r="N207" s="4"/>
      <c r="O207" s="4"/>
      <c r="P207" s="4"/>
      <c r="Q207" s="4"/>
      <c r="R207" s="4"/>
      <c r="S207" s="4"/>
      <c r="T207" s="4"/>
      <c r="U207" s="4"/>
      <c r="V207" s="4"/>
      <c r="W207" s="4"/>
      <c r="X207" s="925">
        <f>Alcohol!B18</f>
        <v>225</v>
      </c>
      <c r="Y207" s="1237">
        <f>Alcohol!B19</f>
        <v>81</v>
      </c>
      <c r="Z207" s="885"/>
      <c r="AA207" s="32"/>
      <c r="AB207" s="884"/>
    </row>
    <row r="208" spans="1:28" ht="12.75">
      <c r="A208" s="903" t="s">
        <v>7</v>
      </c>
      <c r="B208" s="4"/>
      <c r="C208" s="4"/>
      <c r="D208" s="4"/>
      <c r="E208" s="4"/>
      <c r="F208" s="4"/>
      <c r="G208" s="4"/>
      <c r="H208" s="4"/>
      <c r="I208" s="4"/>
      <c r="J208" s="4"/>
      <c r="K208" s="4"/>
      <c r="L208" s="4"/>
      <c r="M208" s="4"/>
      <c r="N208" s="4"/>
      <c r="O208" s="4"/>
      <c r="P208" s="4"/>
      <c r="Q208" s="4"/>
      <c r="R208" s="4"/>
      <c r="S208" s="4"/>
      <c r="T208" s="4"/>
      <c r="U208" s="4"/>
      <c r="V208" s="4"/>
      <c r="W208" s="4"/>
      <c r="X208" s="925">
        <f>Alcohol!C18</f>
        <v>25</v>
      </c>
      <c r="Y208" s="1237">
        <f>Alcohol!C19</f>
        <v>20.875</v>
      </c>
      <c r="Z208" s="32"/>
      <c r="AA208" s="32"/>
      <c r="AB208" s="884"/>
    </row>
    <row r="209" spans="1:28" ht="12.75">
      <c r="A209" s="903" t="s">
        <v>899</v>
      </c>
      <c r="B209" s="4"/>
      <c r="C209" s="4"/>
      <c r="D209" s="4"/>
      <c r="E209" s="4"/>
      <c r="F209" s="4"/>
      <c r="G209" s="4"/>
      <c r="H209" s="4"/>
      <c r="I209" s="4"/>
      <c r="J209" s="4"/>
      <c r="K209" s="4"/>
      <c r="L209" s="4"/>
      <c r="M209" s="4"/>
      <c r="N209" s="4"/>
      <c r="O209" s="4"/>
      <c r="P209" s="4"/>
      <c r="Q209" s="4"/>
      <c r="R209" s="4"/>
      <c r="S209" s="4"/>
      <c r="T209" s="4"/>
      <c r="U209" s="4"/>
      <c r="V209" s="4"/>
      <c r="W209" s="4"/>
      <c r="X209" s="925">
        <f>Alcohol!D18</f>
        <v>14</v>
      </c>
      <c r="Y209" s="1238">
        <f>Alcohol!D19</f>
        <v>32.34</v>
      </c>
      <c r="Z209" s="175"/>
      <c r="AA209" s="32"/>
      <c r="AB209" s="879"/>
    </row>
    <row r="210" spans="1:28" ht="12.75">
      <c r="A210" s="903"/>
      <c r="B210" s="4"/>
      <c r="C210" s="4"/>
      <c r="D210" s="4"/>
      <c r="E210" s="4"/>
      <c r="F210" s="4"/>
      <c r="G210" s="4"/>
      <c r="H210" s="4"/>
      <c r="I210" s="4"/>
      <c r="J210" s="4"/>
      <c r="K210" s="4"/>
      <c r="L210" s="4"/>
      <c r="M210" s="4"/>
      <c r="N210" s="4"/>
      <c r="O210" s="4"/>
      <c r="P210" s="4"/>
      <c r="Q210" s="4"/>
      <c r="R210" s="4"/>
      <c r="S210" s="4"/>
      <c r="T210" s="4"/>
      <c r="U210" s="4"/>
      <c r="V210" s="4"/>
      <c r="W210" s="4"/>
      <c r="X210" s="925"/>
      <c r="Y210" s="246"/>
      <c r="Z210" s="175"/>
      <c r="AA210" s="175"/>
      <c r="AB210" s="878"/>
    </row>
    <row r="212" ht="13.5" thickBot="1"/>
    <row r="213" spans="1:28" ht="13.5" thickBot="1">
      <c r="A213" s="491" t="s">
        <v>905</v>
      </c>
      <c r="B213" s="445"/>
      <c r="C213" s="445"/>
      <c r="D213" s="445"/>
      <c r="E213" s="445"/>
      <c r="F213" s="445"/>
      <c r="G213" s="445"/>
      <c r="H213" s="445"/>
      <c r="I213" s="445"/>
      <c r="J213" s="445"/>
      <c r="K213" s="445"/>
      <c r="L213" s="445"/>
      <c r="M213" s="445"/>
      <c r="N213" s="445"/>
      <c r="O213" s="445"/>
      <c r="P213" s="445"/>
      <c r="Q213" s="445"/>
      <c r="R213" s="445"/>
      <c r="S213" s="445"/>
      <c r="T213" s="445"/>
      <c r="U213" s="445"/>
      <c r="V213" s="445"/>
      <c r="W213" s="445"/>
      <c r="X213" s="926"/>
      <c r="Y213" s="1251">
        <f>Y197+Y189+Y173+Y153+Y143+Y81+Y7+Y204+Y206</f>
        <v>2836.882537916027</v>
      </c>
      <c r="Z213" s="905"/>
      <c r="AB213" s="878"/>
    </row>
    <row r="215" ht="12.75">
      <c r="Y215" s="382"/>
    </row>
  </sheetData>
  <sheetProtection/>
  <mergeCells count="25">
    <mergeCell ref="F2:G5"/>
    <mergeCell ref="H2:I5"/>
    <mergeCell ref="J2:K5"/>
    <mergeCell ref="L2:O2"/>
    <mergeCell ref="P6:Q6"/>
    <mergeCell ref="X200:X201"/>
    <mergeCell ref="L3:M5"/>
    <mergeCell ref="N3:O5"/>
    <mergeCell ref="Z2:Z5"/>
    <mergeCell ref="N6:O6"/>
    <mergeCell ref="L6:M6"/>
    <mergeCell ref="T6:U6"/>
    <mergeCell ref="Y200:Y201"/>
    <mergeCell ref="P2:Q5"/>
    <mergeCell ref="R2:X5"/>
    <mergeCell ref="B1:Y1"/>
    <mergeCell ref="H6:I6"/>
    <mergeCell ref="F6:G6"/>
    <mergeCell ref="D6:E6"/>
    <mergeCell ref="B6:C6"/>
    <mergeCell ref="R6:S6"/>
    <mergeCell ref="B2:C5"/>
    <mergeCell ref="J6:K6"/>
    <mergeCell ref="Y2:Y5"/>
    <mergeCell ref="D2:E5"/>
  </mergeCells>
  <printOptions/>
  <pageMargins left="0.7" right="0.7" top="0.75" bottom="0.75" header="0.3" footer="0.3"/>
  <pageSetup orientation="portrait"/>
  <legacyDrawing r:id="rId2"/>
</worksheet>
</file>

<file path=xl/worksheets/sheet5.xml><?xml version="1.0" encoding="utf-8"?>
<worksheet xmlns="http://schemas.openxmlformats.org/spreadsheetml/2006/main" xmlns:r="http://schemas.openxmlformats.org/officeDocument/2006/relationships">
  <dimension ref="A1:J17"/>
  <sheetViews>
    <sheetView zoomScalePageLayoutView="0" workbookViewId="0" topLeftCell="A1">
      <selection activeCell="I36" sqref="I36"/>
    </sheetView>
  </sheetViews>
  <sheetFormatPr defaultColWidth="11.421875" defaultRowHeight="12.75"/>
  <cols>
    <col min="1" max="1" width="16.28125" style="33" customWidth="1"/>
    <col min="2" max="2" width="11.140625" style="33" customWidth="1"/>
    <col min="3" max="4" width="7.421875" style="33" customWidth="1"/>
    <col min="5" max="5" width="15.00390625" style="33" customWidth="1"/>
    <col min="6" max="6" width="13.28125" style="33" customWidth="1"/>
    <col min="7" max="7" width="16.421875" style="33" bestFit="1" customWidth="1"/>
    <col min="8" max="8" width="10.28125" style="33" bestFit="1" customWidth="1"/>
    <col min="9" max="9" width="11.28125" style="33" bestFit="1" customWidth="1"/>
    <col min="10" max="16384" width="11.421875" style="33" customWidth="1"/>
  </cols>
  <sheetData>
    <row r="1" spans="1:4" ht="15.75">
      <c r="A1" s="609" t="s">
        <v>913</v>
      </c>
      <c r="B1" s="609"/>
      <c r="C1" s="609"/>
      <c r="D1" s="609"/>
    </row>
    <row r="2" spans="1:4" ht="15.75">
      <c r="A2" s="46" t="s">
        <v>1319</v>
      </c>
      <c r="B2" s="609"/>
      <c r="C2" s="609"/>
      <c r="D2" s="609"/>
    </row>
    <row r="3" spans="1:4" ht="12.75">
      <c r="A3" s="46" t="s">
        <v>912</v>
      </c>
      <c r="B3" s="46"/>
      <c r="C3" s="46"/>
      <c r="D3" s="46"/>
    </row>
    <row r="5" spans="1:2" ht="12.75">
      <c r="A5" s="33" t="s">
        <v>193</v>
      </c>
      <c r="B5" s="17">
        <v>14500000</v>
      </c>
    </row>
    <row r="7" spans="2:10" ht="63.75" customHeight="1">
      <c r="B7" s="1269" t="s">
        <v>679</v>
      </c>
      <c r="C7" s="1270"/>
      <c r="D7" s="1271"/>
      <c r="E7" s="542" t="s">
        <v>271</v>
      </c>
      <c r="F7" s="1269" t="s">
        <v>681</v>
      </c>
      <c r="G7" s="1271"/>
      <c r="H7" s="600" t="s">
        <v>190</v>
      </c>
      <c r="I7" s="1267" t="s">
        <v>272</v>
      </c>
      <c r="J7" s="1268"/>
    </row>
    <row r="8" spans="2:10" s="610" customFormat="1" ht="12.75">
      <c r="B8" s="611" t="s">
        <v>460</v>
      </c>
      <c r="C8" s="611" t="s">
        <v>461</v>
      </c>
      <c r="D8" s="611" t="s">
        <v>472</v>
      </c>
      <c r="E8" s="612" t="s">
        <v>264</v>
      </c>
      <c r="F8" s="611" t="s">
        <v>270</v>
      </c>
      <c r="G8" s="612" t="s">
        <v>33</v>
      </c>
      <c r="H8" s="612" t="s">
        <v>170</v>
      </c>
      <c r="I8" s="612" t="s">
        <v>191</v>
      </c>
      <c r="J8" s="611" t="s">
        <v>269</v>
      </c>
    </row>
    <row r="9" spans="1:10" ht="12.75">
      <c r="A9" s="544" t="s">
        <v>265</v>
      </c>
      <c r="B9" s="613">
        <f>VegCurrent!AD7</f>
        <v>0.14302051853633085</v>
      </c>
      <c r="C9" s="581">
        <f>B9*7</f>
        <v>1.001143629754316</v>
      </c>
      <c r="D9" s="581">
        <f>VegCurrent!AB7</f>
        <v>3.035777963636166</v>
      </c>
      <c r="E9" s="408">
        <f>VegCurrent!AF7</f>
        <v>166.92992290392328</v>
      </c>
      <c r="F9" s="408">
        <f>B9*E9</f>
        <v>23.87440413294884</v>
      </c>
      <c r="G9" s="995">
        <f>F9*$B$5</f>
        <v>346178859.92775816</v>
      </c>
      <c r="H9" s="409">
        <f>VegY!V5</f>
        <v>20000</v>
      </c>
      <c r="I9" s="409">
        <f>G9/H9</f>
        <v>17308.94299638791</v>
      </c>
      <c r="J9" s="614">
        <f aca="true" t="shared" si="0" ref="J9:J14">I9/1000</f>
        <v>17.30894299638791</v>
      </c>
    </row>
    <row r="10" spans="1:10" ht="12.75">
      <c r="A10" s="395" t="s">
        <v>266</v>
      </c>
      <c r="B10" s="615">
        <f>VegCurrent!AD29</f>
        <v>0.26043555417412134</v>
      </c>
      <c r="C10" s="334">
        <f>B10*7</f>
        <v>1.8230488792188493</v>
      </c>
      <c r="D10" s="616">
        <f>VegCurrent!AB29</f>
        <v>11.652105606209307</v>
      </c>
      <c r="E10" s="226">
        <f>VegCurrent!AF29</f>
        <v>431.79305148587946</v>
      </c>
      <c r="F10" s="226">
        <f>B10*E10</f>
        <v>112.45426265225993</v>
      </c>
      <c r="G10" s="996">
        <f>F10*$B$5</f>
        <v>1630586808.457769</v>
      </c>
      <c r="H10" s="34">
        <f>VegY!V18</f>
        <v>24000</v>
      </c>
      <c r="I10" s="34">
        <f>G10/H10</f>
        <v>67941.1170190737</v>
      </c>
      <c r="J10" s="617">
        <f t="shared" si="0"/>
        <v>67.9411170190737</v>
      </c>
    </row>
    <row r="11" spans="1:10" ht="12.75">
      <c r="A11" s="395" t="s">
        <v>144</v>
      </c>
      <c r="B11" s="615">
        <f>VegCurrent!AD46</f>
        <v>0.6798823596963234</v>
      </c>
      <c r="C11" s="334">
        <f>B11*7</f>
        <v>4.7591765178742635</v>
      </c>
      <c r="D11" s="334">
        <f>VegCurrent!AB46</f>
        <v>85.21381304614394</v>
      </c>
      <c r="E11" s="226">
        <f>VegCurrent!AF46</f>
        <v>216.28814922418272</v>
      </c>
      <c r="F11" s="226">
        <f>B11*E11</f>
        <v>147.05049726888785</v>
      </c>
      <c r="G11" s="996">
        <f>F11*$B$5</f>
        <v>2132232210.3988738</v>
      </c>
      <c r="H11" s="34">
        <f>VegY!V25</f>
        <v>24000</v>
      </c>
      <c r="I11" s="34">
        <f>G11/H11</f>
        <v>88843.00876661974</v>
      </c>
      <c r="J11" s="617">
        <f t="shared" si="0"/>
        <v>88.84300876661973</v>
      </c>
    </row>
    <row r="12" spans="1:10" ht="12.75">
      <c r="A12" s="395" t="s">
        <v>145</v>
      </c>
      <c r="B12" s="615">
        <f>VegCurrent!AD68</f>
        <v>0.44820096808455784</v>
      </c>
      <c r="C12" s="334">
        <f>B12*7</f>
        <v>3.137406776591905</v>
      </c>
      <c r="D12" s="334">
        <f>VegCurrent!AB68</f>
        <v>16.166591821056596</v>
      </c>
      <c r="E12" s="226">
        <f>VegCurrent!AF68</f>
        <v>222.86887304274433</v>
      </c>
      <c r="F12" s="226">
        <f>B12*E12</f>
        <v>99.89004465367242</v>
      </c>
      <c r="G12" s="996">
        <f>F12*$B$5</f>
        <v>1448405647.47825</v>
      </c>
      <c r="H12" s="34">
        <f>VegY!V31</f>
        <v>28000</v>
      </c>
      <c r="I12" s="34">
        <f>G12/H12</f>
        <v>51728.77312422322</v>
      </c>
      <c r="J12" s="617">
        <f t="shared" si="0"/>
        <v>51.72877312422322</v>
      </c>
    </row>
    <row r="13" spans="1:10" ht="12.75">
      <c r="A13" s="395" t="s">
        <v>267</v>
      </c>
      <c r="B13" s="615">
        <f>VegCurrent!AD118</f>
        <v>0.10415181025887801</v>
      </c>
      <c r="C13" s="334">
        <f>B13*7</f>
        <v>0.7290626718121461</v>
      </c>
      <c r="D13" s="334">
        <f>VegCurrent!AB118</f>
        <v>10.496572153130046</v>
      </c>
      <c r="E13" s="555">
        <f>VegCurrent!AF118</f>
        <v>71.55508184707836</v>
      </c>
      <c r="F13" s="555">
        <f>B13*E13</f>
        <v>7.452591307595392</v>
      </c>
      <c r="G13" s="621">
        <f>F13*$B$5</f>
        <v>108062573.96013318</v>
      </c>
      <c r="H13" s="405">
        <v>1750</v>
      </c>
      <c r="I13" s="405">
        <f>G13/H13</f>
        <v>61750.042262933246</v>
      </c>
      <c r="J13" s="617">
        <f t="shared" si="0"/>
        <v>61.75004226293325</v>
      </c>
    </row>
    <row r="14" spans="1:10" ht="12.75">
      <c r="A14" s="618" t="s">
        <v>268</v>
      </c>
      <c r="B14" s="619">
        <f>SUM(B9:B13)</f>
        <v>1.6356912107502115</v>
      </c>
      <c r="C14" s="620">
        <f>SUM(C9:C13)</f>
        <v>11.44983847525148</v>
      </c>
      <c r="D14" s="620">
        <f>SUM(D9:D13)</f>
        <v>126.56486059017605</v>
      </c>
      <c r="E14" s="621"/>
      <c r="F14" s="555">
        <f>SUM(F9:F13)</f>
        <v>390.72180001536447</v>
      </c>
      <c r="G14" s="405">
        <f>SUM(G9:G13)</f>
        <v>5665466100.222785</v>
      </c>
      <c r="H14" s="555"/>
      <c r="I14" s="405">
        <f>SUM(I9:I13)</f>
        <v>287571.8841692378</v>
      </c>
      <c r="J14" s="622">
        <f t="shared" si="0"/>
        <v>287.5718841692378</v>
      </c>
    </row>
    <row r="16" ht="12.75">
      <c r="B16" s="623"/>
    </row>
    <row r="17" spans="9:10" ht="12.75">
      <c r="I17" s="624"/>
      <c r="J17" s="625"/>
    </row>
  </sheetData>
  <sheetProtection/>
  <mergeCells count="3">
    <mergeCell ref="I7:J7"/>
    <mergeCell ref="B7:D7"/>
    <mergeCell ref="F7:G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157"/>
  <sheetViews>
    <sheetView zoomScalePageLayoutView="0" workbookViewId="0" topLeftCell="A1">
      <pane xSplit="1" ySplit="6" topLeftCell="U7" activePane="bottomRight" state="frozen"/>
      <selection pane="topLeft" activeCell="A1" sqref="A1"/>
      <selection pane="topRight" activeCell="B1" sqref="B1"/>
      <selection pane="bottomLeft" activeCell="A7" sqref="A7"/>
      <selection pane="bottomRight" activeCell="U1" sqref="U1:U16384"/>
    </sheetView>
  </sheetViews>
  <sheetFormatPr defaultColWidth="8.8515625" defaultRowHeight="12.75"/>
  <cols>
    <col min="1" max="1" width="21.7109375" style="0" customWidth="1"/>
    <col min="2" max="2" width="8.8515625" style="0" customWidth="1"/>
    <col min="3" max="15" width="0" style="0" hidden="1" customWidth="1"/>
    <col min="16" max="16" width="8.8515625" style="0" customWidth="1"/>
    <col min="17" max="17" width="0" style="0" hidden="1" customWidth="1"/>
    <col min="18" max="18" width="8.8515625" style="0" customWidth="1"/>
    <col min="19" max="19" width="0" style="0" hidden="1" customWidth="1"/>
    <col min="20" max="20" width="8.8515625" style="0" customWidth="1"/>
    <col min="21" max="22" width="11.140625" style="0" customWidth="1"/>
    <col min="23" max="26" width="0" style="0" hidden="1" customWidth="1"/>
    <col min="27" max="27" width="0.13671875" style="0" hidden="1" customWidth="1"/>
    <col min="28" max="28" width="8.8515625" style="0" customWidth="1"/>
    <col min="29" max="29" width="0" style="0" hidden="1" customWidth="1"/>
    <col min="30" max="30" width="8.8515625" style="0" customWidth="1"/>
    <col min="31" max="31" width="0" style="0" hidden="1" customWidth="1"/>
    <col min="32" max="32" width="14.7109375" style="0" customWidth="1"/>
    <col min="33" max="33" width="13.28125" style="0" customWidth="1"/>
  </cols>
  <sheetData>
    <row r="1" s="62" customFormat="1" ht="18">
      <c r="A1" s="604" t="s">
        <v>683</v>
      </c>
    </row>
    <row r="2" spans="2:33" s="62" customFormat="1" ht="12.75">
      <c r="B2" s="1279" t="s">
        <v>194</v>
      </c>
      <c r="C2" s="1280"/>
      <c r="D2" s="1294" t="s">
        <v>195</v>
      </c>
      <c r="E2" s="1280"/>
      <c r="F2" s="1279" t="s">
        <v>196</v>
      </c>
      <c r="G2" s="1280"/>
      <c r="H2" s="1279" t="s">
        <v>197</v>
      </c>
      <c r="I2" s="1280"/>
      <c r="J2" s="1279" t="s">
        <v>198</v>
      </c>
      <c r="K2" s="1280"/>
      <c r="L2" s="1295" t="s">
        <v>199</v>
      </c>
      <c r="M2" s="1296"/>
      <c r="N2" s="1296"/>
      <c r="O2" s="1297"/>
      <c r="P2" s="1279" t="s">
        <v>200</v>
      </c>
      <c r="Q2" s="1280"/>
      <c r="R2" s="1279" t="s">
        <v>201</v>
      </c>
      <c r="S2" s="1285"/>
      <c r="T2" s="1285"/>
      <c r="U2" s="1285"/>
      <c r="V2" s="1285"/>
      <c r="W2" s="1286"/>
      <c r="X2" s="1279" t="s">
        <v>684</v>
      </c>
      <c r="Y2" s="1286"/>
      <c r="Z2" s="1279" t="s">
        <v>685</v>
      </c>
      <c r="AA2" s="1293"/>
      <c r="AB2" s="1294" t="s">
        <v>202</v>
      </c>
      <c r="AC2" s="1286"/>
      <c r="AD2" s="1294" t="s">
        <v>686</v>
      </c>
      <c r="AE2" s="1285"/>
      <c r="AF2" s="1273" t="s">
        <v>47</v>
      </c>
      <c r="AG2" s="1274"/>
    </row>
    <row r="3" spans="2:33" s="62" customFormat="1" ht="12.75">
      <c r="B3" s="1281"/>
      <c r="C3" s="1282"/>
      <c r="D3" s="1281"/>
      <c r="E3" s="1282"/>
      <c r="F3" s="1281"/>
      <c r="G3" s="1282"/>
      <c r="H3" s="1281"/>
      <c r="I3" s="1282"/>
      <c r="J3" s="1281"/>
      <c r="K3" s="1282"/>
      <c r="L3" s="1279" t="s">
        <v>203</v>
      </c>
      <c r="M3" s="1280"/>
      <c r="N3" s="1279" t="s">
        <v>204</v>
      </c>
      <c r="O3" s="1280"/>
      <c r="P3" s="1281"/>
      <c r="Q3" s="1282"/>
      <c r="R3" s="1287"/>
      <c r="S3" s="1288"/>
      <c r="T3" s="1288"/>
      <c r="U3" s="1288"/>
      <c r="V3" s="1288"/>
      <c r="W3" s="1289"/>
      <c r="X3" s="1287"/>
      <c r="Y3" s="1289"/>
      <c r="Z3" s="1287"/>
      <c r="AA3" s="1288"/>
      <c r="AB3" s="1287"/>
      <c r="AC3" s="1289"/>
      <c r="AD3" s="1287"/>
      <c r="AE3" s="1288"/>
      <c r="AF3" s="1275"/>
      <c r="AG3" s="1276"/>
    </row>
    <row r="4" spans="2:33" s="62" customFormat="1" ht="12.75">
      <c r="B4" s="1281"/>
      <c r="C4" s="1282"/>
      <c r="D4" s="1281"/>
      <c r="E4" s="1282"/>
      <c r="F4" s="1281"/>
      <c r="G4" s="1282"/>
      <c r="H4" s="1281"/>
      <c r="I4" s="1282"/>
      <c r="J4" s="1281"/>
      <c r="K4" s="1282"/>
      <c r="L4" s="1281"/>
      <c r="M4" s="1282"/>
      <c r="N4" s="1281"/>
      <c r="O4" s="1282"/>
      <c r="P4" s="1281"/>
      <c r="Q4" s="1282"/>
      <c r="R4" s="1287"/>
      <c r="S4" s="1288"/>
      <c r="T4" s="1288"/>
      <c r="U4" s="1288"/>
      <c r="V4" s="1288"/>
      <c r="W4" s="1289"/>
      <c r="X4" s="1287"/>
      <c r="Y4" s="1289"/>
      <c r="Z4" s="1287"/>
      <c r="AA4" s="1288"/>
      <c r="AB4" s="1287"/>
      <c r="AC4" s="1289"/>
      <c r="AD4" s="1287"/>
      <c r="AE4" s="1288"/>
      <c r="AF4" s="1275"/>
      <c r="AG4" s="1276"/>
    </row>
    <row r="5" spans="2:33" s="62" customFormat="1" ht="12.75">
      <c r="B5" s="1283"/>
      <c r="C5" s="1284"/>
      <c r="D5" s="1283"/>
      <c r="E5" s="1284"/>
      <c r="F5" s="1283"/>
      <c r="G5" s="1284"/>
      <c r="H5" s="1283"/>
      <c r="I5" s="1284"/>
      <c r="J5" s="1283"/>
      <c r="K5" s="1284"/>
      <c r="L5" s="1283"/>
      <c r="M5" s="1284"/>
      <c r="N5" s="1283"/>
      <c r="O5" s="1284"/>
      <c r="P5" s="1283"/>
      <c r="Q5" s="1284"/>
      <c r="R5" s="1290"/>
      <c r="S5" s="1291"/>
      <c r="T5" s="1291"/>
      <c r="U5" s="1291"/>
      <c r="V5" s="1291"/>
      <c r="W5" s="1292"/>
      <c r="X5" s="1290"/>
      <c r="Y5" s="1292"/>
      <c r="Z5" s="1290"/>
      <c r="AA5" s="1291"/>
      <c r="AB5" s="1290"/>
      <c r="AC5" s="1292"/>
      <c r="AD5" s="1290"/>
      <c r="AE5" s="1291"/>
      <c r="AF5" s="1277"/>
      <c r="AG5" s="1278"/>
    </row>
    <row r="6" spans="2:33" s="62" customFormat="1" ht="12.75">
      <c r="B6" s="1272" t="s">
        <v>582</v>
      </c>
      <c r="C6" s="1272"/>
      <c r="D6" s="1272" t="s">
        <v>583</v>
      </c>
      <c r="E6" s="1272"/>
      <c r="F6" s="1272" t="s">
        <v>582</v>
      </c>
      <c r="G6" s="1272"/>
      <c r="H6" s="1272" t="s">
        <v>583</v>
      </c>
      <c r="I6" s="1272"/>
      <c r="J6" s="1272" t="s">
        <v>582</v>
      </c>
      <c r="K6" s="1272"/>
      <c r="L6" s="1272" t="s">
        <v>583</v>
      </c>
      <c r="M6" s="1272"/>
      <c r="N6" s="1272" t="s">
        <v>583</v>
      </c>
      <c r="O6" s="1272"/>
      <c r="P6" s="1272" t="s">
        <v>583</v>
      </c>
      <c r="Q6" s="1272"/>
      <c r="R6" s="1272" t="s">
        <v>582</v>
      </c>
      <c r="S6" s="1272"/>
      <c r="T6" s="1272" t="s">
        <v>137</v>
      </c>
      <c r="U6" s="1272"/>
      <c r="V6" s="1272" t="s">
        <v>584</v>
      </c>
      <c r="W6" s="1272"/>
      <c r="X6" s="1272" t="s">
        <v>585</v>
      </c>
      <c r="Y6" s="1272"/>
      <c r="Z6" s="1272" t="s">
        <v>205</v>
      </c>
      <c r="AA6" s="1272"/>
      <c r="AB6" s="1272" t="s">
        <v>585</v>
      </c>
      <c r="AC6" s="1272"/>
      <c r="AD6" s="1272" t="s">
        <v>206</v>
      </c>
      <c r="AE6" s="1272"/>
      <c r="AF6" s="605" t="s">
        <v>687</v>
      </c>
      <c r="AG6" s="606" t="s">
        <v>804</v>
      </c>
    </row>
    <row r="7" spans="1:33" ht="12.75">
      <c r="A7" s="349" t="s">
        <v>586</v>
      </c>
      <c r="B7" s="413">
        <f>B11+B13+B15+B17+B19+B23+B25+B27</f>
        <v>23.87440413294884</v>
      </c>
      <c r="C7" s="414"/>
      <c r="D7" s="414"/>
      <c r="E7" s="414"/>
      <c r="F7" s="414"/>
      <c r="G7" s="414"/>
      <c r="H7" s="414"/>
      <c r="I7" s="414"/>
      <c r="J7" s="414"/>
      <c r="K7" s="414"/>
      <c r="L7" s="414"/>
      <c r="M7" s="414"/>
      <c r="N7" s="414"/>
      <c r="O7" s="414"/>
      <c r="P7" s="415">
        <f>1-(R7/B7)</f>
        <v>0.5717931302448958</v>
      </c>
      <c r="Q7" s="414"/>
      <c r="R7" s="413">
        <f>R11+R13+R15+R17+R19+R23+R25+R27</f>
        <v>10.223183861038345</v>
      </c>
      <c r="S7" s="414"/>
      <c r="T7" s="413">
        <f>T11+T13+T15+T17+T19+T23+T25+T27</f>
        <v>0.44813956651126996</v>
      </c>
      <c r="U7" s="414"/>
      <c r="V7" s="413">
        <f>V11+V13+V15+V17+V19+V23+V25+V27</f>
        <v>12.70453264081125</v>
      </c>
      <c r="W7" s="414"/>
      <c r="X7" s="414"/>
      <c r="Y7" s="414"/>
      <c r="Z7" s="414"/>
      <c r="AA7" s="414"/>
      <c r="AB7" s="413">
        <f>AB11+AB13+AB15+AB17+AB19+AB23+AB25+AB27</f>
        <v>3.035777963636166</v>
      </c>
      <c r="AC7" s="414"/>
      <c r="AD7" s="416">
        <f>AD11+AD13+AD15+AD17+AD19+AD23+AD25+AD27</f>
        <v>0.14302051853633085</v>
      </c>
      <c r="AF7" s="417">
        <f>B7/AD7</f>
        <v>166.92992290392328</v>
      </c>
      <c r="AG7" s="418">
        <f>AD7/B7</f>
        <v>0.005990537721481793</v>
      </c>
    </row>
    <row r="8" spans="1:33" ht="12.75">
      <c r="A8" s="348"/>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F8" s="58"/>
      <c r="AG8" s="419"/>
    </row>
    <row r="9" spans="1:33" ht="12.75">
      <c r="A9" s="337" t="s">
        <v>587</v>
      </c>
      <c r="B9" s="301">
        <v>5.845192533524538</v>
      </c>
      <c r="C9" s="301"/>
      <c r="D9" s="301"/>
      <c r="E9" s="301"/>
      <c r="F9" s="301"/>
      <c r="G9" s="301"/>
      <c r="H9" s="301"/>
      <c r="I9" s="301"/>
      <c r="J9" s="301"/>
      <c r="K9" s="301"/>
      <c r="L9" s="301"/>
      <c r="M9" s="301"/>
      <c r="N9" s="301"/>
      <c r="O9" s="301"/>
      <c r="P9" s="301">
        <v>60.30896552933418</v>
      </c>
      <c r="Q9" s="301"/>
      <c r="R9" s="301">
        <v>2.3200173833580093</v>
      </c>
      <c r="S9" s="301"/>
      <c r="T9" s="301">
        <v>0.1016993921472004</v>
      </c>
      <c r="U9" s="301"/>
      <c r="V9" s="301">
        <v>2.8831269176770578</v>
      </c>
      <c r="W9" s="301"/>
      <c r="X9" s="301"/>
      <c r="Y9" s="301"/>
      <c r="Z9" s="301"/>
      <c r="AA9" s="301"/>
      <c r="AB9" s="301">
        <v>0.9821641148130638</v>
      </c>
      <c r="AC9" s="301"/>
      <c r="AD9" s="301">
        <v>0.031682713381066575</v>
      </c>
      <c r="AG9" s="419"/>
    </row>
    <row r="10" spans="1:33" ht="12.75">
      <c r="A10" s="337" t="s">
        <v>158</v>
      </c>
      <c r="B10" s="382">
        <v>2.5150839034963717</v>
      </c>
      <c r="C10" s="301"/>
      <c r="D10" s="301"/>
      <c r="E10" s="301"/>
      <c r="F10" s="301"/>
      <c r="G10" s="301"/>
      <c r="H10" s="301"/>
      <c r="I10" s="301"/>
      <c r="J10" s="301"/>
      <c r="K10" s="301"/>
      <c r="L10" s="301"/>
      <c r="M10" s="301"/>
      <c r="N10" s="301"/>
      <c r="O10" s="301"/>
      <c r="P10" s="301">
        <v>37.8044864</v>
      </c>
      <c r="Q10" s="301"/>
      <c r="R10" s="301">
        <v>1.5642693512504966</v>
      </c>
      <c r="S10" s="301"/>
      <c r="T10" s="301">
        <v>0.06857071128769301</v>
      </c>
      <c r="U10" s="301"/>
      <c r="V10" s="301">
        <v>1.943945379650453</v>
      </c>
      <c r="W10" s="301"/>
      <c r="X10" s="301"/>
      <c r="Y10" s="301"/>
      <c r="Z10" s="301"/>
      <c r="AA10" s="301"/>
      <c r="AB10" s="301">
        <v>0.5493758681620845</v>
      </c>
      <c r="AC10" s="301"/>
      <c r="AD10" s="301">
        <v>0.010564920541578548</v>
      </c>
      <c r="AG10" s="419"/>
    </row>
    <row r="11" spans="1:33" ht="12.75">
      <c r="A11" s="420" t="s">
        <v>588</v>
      </c>
      <c r="B11" s="421">
        <f>SUM(B9:B10)</f>
        <v>8.36027643702091</v>
      </c>
      <c r="C11" s="421"/>
      <c r="D11" s="421"/>
      <c r="E11" s="421"/>
      <c r="F11" s="421"/>
      <c r="G11" s="421"/>
      <c r="H11" s="421"/>
      <c r="I11" s="421"/>
      <c r="J11" s="421"/>
      <c r="K11" s="421"/>
      <c r="L11" s="421"/>
      <c r="M11" s="421"/>
      <c r="N11" s="421"/>
      <c r="O11" s="421"/>
      <c r="P11" s="422">
        <f>1-(R11/B11)</f>
        <v>0.535387763327043</v>
      </c>
      <c r="Q11" s="421"/>
      <c r="R11" s="421">
        <f>SUM(R9:R10)</f>
        <v>3.884286734608506</v>
      </c>
      <c r="S11" s="421"/>
      <c r="T11" s="421">
        <f>SUM(T9:T10)</f>
        <v>0.1702701034348934</v>
      </c>
      <c r="U11" s="421"/>
      <c r="V11" s="421">
        <f>SUM(V9:V10)</f>
        <v>4.827072297327511</v>
      </c>
      <c r="W11" s="421"/>
      <c r="X11" s="421"/>
      <c r="Y11" s="421"/>
      <c r="Z11" s="421"/>
      <c r="AA11" s="421"/>
      <c r="AB11" s="421">
        <f>SUM(AB9:AB10)</f>
        <v>1.5315399829751484</v>
      </c>
      <c r="AC11" s="421"/>
      <c r="AD11" s="421">
        <f>SUM(AD9:AD10)</f>
        <v>0.04224763392264512</v>
      </c>
      <c r="AG11" s="419"/>
    </row>
    <row r="12" spans="1:33" ht="12.75">
      <c r="A12" s="337"/>
      <c r="B12" s="301"/>
      <c r="C12" s="301"/>
      <c r="D12" s="301"/>
      <c r="E12" s="301"/>
      <c r="F12" s="301"/>
      <c r="G12" s="301"/>
      <c r="H12" s="301"/>
      <c r="I12" s="301"/>
      <c r="J12" s="301"/>
      <c r="K12" s="301"/>
      <c r="L12" s="301"/>
      <c r="M12" s="301"/>
      <c r="N12" s="301"/>
      <c r="O12" s="301"/>
      <c r="P12" s="48"/>
      <c r="Q12" s="301"/>
      <c r="R12" s="301"/>
      <c r="S12" s="301"/>
      <c r="T12" s="301"/>
      <c r="U12" s="301"/>
      <c r="V12" s="301"/>
      <c r="W12" s="301"/>
      <c r="X12" s="301"/>
      <c r="Y12" s="301"/>
      <c r="Z12" s="301"/>
      <c r="AA12" s="301"/>
      <c r="AB12" s="301"/>
      <c r="AC12" s="301"/>
      <c r="AD12" s="301"/>
      <c r="AG12" s="419"/>
    </row>
    <row r="13" spans="1:33" ht="12.75">
      <c r="A13" s="348" t="s">
        <v>589</v>
      </c>
      <c r="B13" s="301">
        <v>0.6600557275255606</v>
      </c>
      <c r="C13" s="301"/>
      <c r="D13" s="301"/>
      <c r="E13" s="301"/>
      <c r="F13" s="301"/>
      <c r="G13" s="301"/>
      <c r="H13" s="301"/>
      <c r="I13" s="301"/>
      <c r="J13" s="301"/>
      <c r="K13" s="301"/>
      <c r="L13" s="301"/>
      <c r="M13" s="301"/>
      <c r="N13" s="301"/>
      <c r="O13" s="301"/>
      <c r="P13" s="48">
        <f>0.01*89.5444571107643</f>
        <v>0.895444571107643</v>
      </c>
      <c r="Q13" s="301"/>
      <c r="R13" s="301">
        <v>0.06901240968429148</v>
      </c>
      <c r="S13" s="301"/>
      <c r="T13" s="301">
        <v>0.003025201520407298</v>
      </c>
      <c r="U13" s="301"/>
      <c r="V13" s="301">
        <v>0.0857629505027867</v>
      </c>
      <c r="W13" s="301"/>
      <c r="X13" s="301"/>
      <c r="Y13" s="301"/>
      <c r="Z13" s="301"/>
      <c r="AA13" s="301"/>
      <c r="AB13" s="301">
        <v>0.026205345986962603</v>
      </c>
      <c r="AC13" s="301"/>
      <c r="AD13" s="301">
        <v>0.002382304180632964</v>
      </c>
      <c r="AG13" s="419"/>
    </row>
    <row r="14" spans="1:33" ht="12.75">
      <c r="A14" s="337"/>
      <c r="B14" s="301"/>
      <c r="C14" s="301"/>
      <c r="D14" s="301"/>
      <c r="E14" s="301"/>
      <c r="F14" s="301"/>
      <c r="G14" s="301"/>
      <c r="H14" s="301"/>
      <c r="I14" s="301"/>
      <c r="J14" s="301"/>
      <c r="K14" s="301"/>
      <c r="L14" s="301"/>
      <c r="M14" s="301"/>
      <c r="N14" s="301"/>
      <c r="O14" s="301"/>
      <c r="P14" s="48"/>
      <c r="Q14" s="301"/>
      <c r="R14" s="301"/>
      <c r="S14" s="301"/>
      <c r="T14" s="301"/>
      <c r="U14" s="301"/>
      <c r="V14" s="301"/>
      <c r="W14" s="301"/>
      <c r="X14" s="301"/>
      <c r="Y14" s="301"/>
      <c r="Z14" s="301"/>
      <c r="AA14" s="301"/>
      <c r="AB14" s="301"/>
      <c r="AC14" s="301"/>
      <c r="AD14" s="301"/>
      <c r="AG14" s="419"/>
    </row>
    <row r="15" spans="1:33" ht="12.75">
      <c r="A15" s="348" t="s">
        <v>590</v>
      </c>
      <c r="B15" s="301">
        <v>0.2689551220603903</v>
      </c>
      <c r="C15" s="301"/>
      <c r="D15" s="301"/>
      <c r="E15" s="301"/>
      <c r="F15" s="301"/>
      <c r="G15" s="301"/>
      <c r="H15" s="301"/>
      <c r="I15" s="301"/>
      <c r="J15" s="301"/>
      <c r="K15" s="301"/>
      <c r="L15" s="301"/>
      <c r="M15" s="301"/>
      <c r="N15" s="301"/>
      <c r="O15" s="301"/>
      <c r="P15" s="48">
        <f>0.01*70.8072125237155</f>
        <v>0.7080721252371551</v>
      </c>
      <c r="Q15" s="301"/>
      <c r="R15" s="301">
        <v>0.07851549718967134</v>
      </c>
      <c r="S15" s="301"/>
      <c r="T15" s="301">
        <v>0.0034417752192732647</v>
      </c>
      <c r="U15" s="301"/>
      <c r="V15" s="301">
        <v>0.09757260657878741</v>
      </c>
      <c r="W15" s="301"/>
      <c r="X15" s="301"/>
      <c r="Y15" s="301"/>
      <c r="Z15" s="301"/>
      <c r="AA15" s="301"/>
      <c r="AB15" s="301">
        <v>0.015611617052605987</v>
      </c>
      <c r="AC15" s="301"/>
      <c r="AD15" s="301">
        <v>0.0019514521315757483</v>
      </c>
      <c r="AG15" s="419"/>
    </row>
    <row r="16" spans="1:33" ht="12.75">
      <c r="A16" s="337"/>
      <c r="B16" s="301"/>
      <c r="C16" s="301"/>
      <c r="D16" s="301"/>
      <c r="E16" s="301"/>
      <c r="F16" s="301"/>
      <c r="G16" s="301"/>
      <c r="H16" s="301"/>
      <c r="I16" s="301"/>
      <c r="J16" s="301"/>
      <c r="K16" s="301"/>
      <c r="L16" s="301"/>
      <c r="M16" s="301"/>
      <c r="N16" s="301"/>
      <c r="O16" s="301"/>
      <c r="P16" s="48"/>
      <c r="Q16" s="301"/>
      <c r="R16" s="301"/>
      <c r="S16" s="301"/>
      <c r="T16" s="301"/>
      <c r="U16" s="301"/>
      <c r="V16" s="301"/>
      <c r="W16" s="301"/>
      <c r="X16" s="301"/>
      <c r="Y16" s="301"/>
      <c r="Z16" s="301"/>
      <c r="AA16" s="301"/>
      <c r="AB16" s="301"/>
      <c r="AC16" s="301"/>
      <c r="AD16" s="301"/>
      <c r="AG16" s="419"/>
    </row>
    <row r="17" spans="1:33" ht="12.75">
      <c r="A17" s="348" t="s">
        <v>591</v>
      </c>
      <c r="B17" s="301">
        <v>10.932342874620794</v>
      </c>
      <c r="C17" s="301"/>
      <c r="D17" s="301"/>
      <c r="E17" s="301"/>
      <c r="F17" s="301"/>
      <c r="G17" s="301"/>
      <c r="H17" s="301"/>
      <c r="I17" s="301"/>
      <c r="J17" s="301"/>
      <c r="K17" s="301"/>
      <c r="L17" s="301"/>
      <c r="M17" s="301"/>
      <c r="N17" s="301"/>
      <c r="O17" s="301"/>
      <c r="P17" s="48">
        <f>0.01*55.6988642157939</f>
        <v>0.556988642157939</v>
      </c>
      <c r="Q17" s="301"/>
      <c r="R17" s="301">
        <v>4.843152061280736</v>
      </c>
      <c r="S17" s="301"/>
      <c r="T17" s="301">
        <v>0.21230255611093635</v>
      </c>
      <c r="U17" s="301"/>
      <c r="V17" s="301">
        <v>6.0186713144669906</v>
      </c>
      <c r="W17" s="301"/>
      <c r="X17" s="301"/>
      <c r="Y17" s="301"/>
      <c r="Z17" s="301"/>
      <c r="AA17" s="301"/>
      <c r="AB17" s="301">
        <v>1.0151975711149142</v>
      </c>
      <c r="AC17" s="301"/>
      <c r="AD17" s="301">
        <v>0.07251411222249386</v>
      </c>
      <c r="AG17" s="419"/>
    </row>
    <row r="18" spans="1:33" ht="12.75">
      <c r="A18" s="337"/>
      <c r="B18" s="301"/>
      <c r="C18" s="301"/>
      <c r="D18" s="301"/>
      <c r="E18" s="301"/>
      <c r="F18" s="301"/>
      <c r="G18" s="301"/>
      <c r="H18" s="301"/>
      <c r="I18" s="301"/>
      <c r="J18" s="301"/>
      <c r="K18" s="301"/>
      <c r="L18" s="301"/>
      <c r="M18" s="301"/>
      <c r="N18" s="301"/>
      <c r="O18" s="301"/>
      <c r="P18" s="48"/>
      <c r="Q18" s="301"/>
      <c r="R18" s="301"/>
      <c r="S18" s="301"/>
      <c r="T18" s="301"/>
      <c r="U18" s="301"/>
      <c r="V18" s="301"/>
      <c r="W18" s="301"/>
      <c r="X18" s="301"/>
      <c r="Y18" s="301"/>
      <c r="Z18" s="301"/>
      <c r="AA18" s="301"/>
      <c r="AB18" s="301"/>
      <c r="AC18" s="301"/>
      <c r="AD18" s="301"/>
      <c r="AG18" s="419"/>
    </row>
    <row r="19" spans="1:33" ht="12.75">
      <c r="A19" s="348" t="s">
        <v>592</v>
      </c>
      <c r="B19" s="301">
        <v>0.3230589961959659</v>
      </c>
      <c r="C19" s="301"/>
      <c r="D19" s="301"/>
      <c r="E19" s="301"/>
      <c r="F19" s="301"/>
      <c r="G19" s="301"/>
      <c r="H19" s="301"/>
      <c r="I19" s="301"/>
      <c r="J19" s="301"/>
      <c r="K19" s="301"/>
      <c r="L19" s="301"/>
      <c r="M19" s="301"/>
      <c r="N19" s="301"/>
      <c r="O19" s="301"/>
      <c r="P19" s="48">
        <f>0.01*87.6889014226386</f>
        <v>0.876889014226386</v>
      </c>
      <c r="Q19" s="301"/>
      <c r="R19" s="301">
        <v>0.039772111484719555</v>
      </c>
      <c r="S19" s="301"/>
      <c r="T19" s="301">
        <v>0.0017434350239877068</v>
      </c>
      <c r="U19" s="301"/>
      <c r="V19" s="301">
        <v>0.049425511212539484</v>
      </c>
      <c r="W19" s="301"/>
      <c r="X19" s="301"/>
      <c r="Y19" s="301"/>
      <c r="Z19" s="301"/>
      <c r="AA19" s="301"/>
      <c r="AB19" s="301">
        <v>0.025081602704870788</v>
      </c>
      <c r="AC19" s="301"/>
      <c r="AD19" s="301">
        <v>0.0007376941972020819</v>
      </c>
      <c r="AG19" s="419"/>
    </row>
    <row r="20" spans="1:33" ht="12.75">
      <c r="A20" s="337"/>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G20" s="419"/>
    </row>
    <row r="21" spans="1:33" ht="12.75">
      <c r="A21" s="337" t="s">
        <v>593</v>
      </c>
      <c r="B21" s="301">
        <v>1.850567249678754</v>
      </c>
      <c r="C21" s="301"/>
      <c r="D21" s="301"/>
      <c r="E21" s="301"/>
      <c r="F21" s="301"/>
      <c r="G21" s="301"/>
      <c r="H21" s="301"/>
      <c r="I21" s="301"/>
      <c r="J21" s="301"/>
      <c r="K21" s="301"/>
      <c r="L21" s="301"/>
      <c r="M21" s="301"/>
      <c r="N21" s="301"/>
      <c r="O21" s="301"/>
      <c r="P21" s="301">
        <v>52.54002861326647</v>
      </c>
      <c r="Q21" s="301"/>
      <c r="R21" s="301">
        <v>0.8782786871897981</v>
      </c>
      <c r="S21" s="301"/>
      <c r="T21" s="301">
        <v>0.03849988765763499</v>
      </c>
      <c r="U21" s="301"/>
      <c r="V21" s="301">
        <v>1.0914525651501232</v>
      </c>
      <c r="W21" s="301"/>
      <c r="X21" s="301"/>
      <c r="Y21" s="301"/>
      <c r="Z21" s="301"/>
      <c r="AA21" s="301"/>
      <c r="AB21" s="301">
        <v>0.2546722652016954</v>
      </c>
      <c r="AC21" s="301"/>
      <c r="AD21" s="301">
        <v>0.018190876085835386</v>
      </c>
      <c r="AG21" s="419"/>
    </row>
    <row r="22" spans="1:33" ht="12.75">
      <c r="A22" s="337" t="s">
        <v>158</v>
      </c>
      <c r="B22" s="382">
        <v>0.6740166346189416</v>
      </c>
      <c r="C22" s="301"/>
      <c r="D22" s="301"/>
      <c r="E22" s="301"/>
      <c r="F22" s="301"/>
      <c r="G22" s="301"/>
      <c r="H22" s="301"/>
      <c r="I22" s="301"/>
      <c r="J22" s="301"/>
      <c r="K22" s="301"/>
      <c r="L22" s="301"/>
      <c r="M22" s="301"/>
      <c r="N22" s="301"/>
      <c r="O22" s="301"/>
      <c r="P22" s="301">
        <v>56.615427999999994</v>
      </c>
      <c r="Q22" s="301"/>
      <c r="R22" s="301">
        <v>0.2924192321382316</v>
      </c>
      <c r="S22" s="301"/>
      <c r="T22" s="301">
        <v>0.012818377299210154</v>
      </c>
      <c r="U22" s="301"/>
      <c r="V22" s="301">
        <v>0.3633945872439582</v>
      </c>
      <c r="W22" s="301"/>
      <c r="X22" s="301"/>
      <c r="Y22" s="301"/>
      <c r="Z22" s="301"/>
      <c r="AA22" s="301"/>
      <c r="AB22" s="301">
        <v>0.11666878853621816</v>
      </c>
      <c r="AC22" s="301"/>
      <c r="AD22" s="301">
        <v>0.001912603090757675</v>
      </c>
      <c r="AG22" s="419"/>
    </row>
    <row r="23" spans="1:33" ht="12.75">
      <c r="A23" s="420" t="s">
        <v>154</v>
      </c>
      <c r="B23" s="421">
        <f>SUM(B21:B22)</f>
        <v>2.5245838842976953</v>
      </c>
      <c r="C23" s="421"/>
      <c r="D23" s="421"/>
      <c r="E23" s="421"/>
      <c r="F23" s="421"/>
      <c r="G23" s="421"/>
      <c r="H23" s="421"/>
      <c r="I23" s="421"/>
      <c r="J23" s="421"/>
      <c r="K23" s="421"/>
      <c r="L23" s="421"/>
      <c r="M23" s="421"/>
      <c r="N23" s="421"/>
      <c r="O23" s="421"/>
      <c r="P23" s="422">
        <f>1-(R23/B23)</f>
        <v>0.5362808395437009</v>
      </c>
      <c r="Q23" s="421"/>
      <c r="R23" s="421">
        <f>SUM(R21:R22)</f>
        <v>1.1706979193280298</v>
      </c>
      <c r="S23" s="421"/>
      <c r="T23" s="421">
        <f>SUM(T21:T22)</f>
        <v>0.05131826495684515</v>
      </c>
      <c r="U23" s="421"/>
      <c r="V23" s="421">
        <f>SUM(V21:V22)</f>
        <v>1.4548471523940814</v>
      </c>
      <c r="W23" s="421"/>
      <c r="X23" s="421"/>
      <c r="Y23" s="421"/>
      <c r="Z23" s="421"/>
      <c r="AA23" s="421"/>
      <c r="AB23" s="421">
        <f>SUM(AB21:AB22)</f>
        <v>0.37134105373791354</v>
      </c>
      <c r="AC23" s="421"/>
      <c r="AD23" s="421">
        <f>SUM(AD21:AD22)</f>
        <v>0.02010347917659306</v>
      </c>
      <c r="AG23" s="419"/>
    </row>
    <row r="24" spans="1:33" ht="12.75">
      <c r="A24" s="337"/>
      <c r="B24" s="301"/>
      <c r="C24" s="301"/>
      <c r="D24" s="301"/>
      <c r="E24" s="301"/>
      <c r="F24" s="301"/>
      <c r="G24" s="301"/>
      <c r="H24" s="301"/>
      <c r="I24" s="301"/>
      <c r="J24" s="301"/>
      <c r="K24" s="301"/>
      <c r="L24" s="301"/>
      <c r="M24" s="301"/>
      <c r="N24" s="301"/>
      <c r="O24" s="301"/>
      <c r="P24" s="48"/>
      <c r="Q24" s="301"/>
      <c r="R24" s="301"/>
      <c r="S24" s="301"/>
      <c r="T24" s="301"/>
      <c r="U24" s="301"/>
      <c r="V24" s="301"/>
      <c r="W24" s="301"/>
      <c r="X24" s="301"/>
      <c r="Y24" s="301"/>
      <c r="Z24" s="301"/>
      <c r="AA24" s="301"/>
      <c r="AB24" s="301"/>
      <c r="AC24" s="301"/>
      <c r="AD24" s="301"/>
      <c r="AG24" s="419"/>
    </row>
    <row r="25" spans="1:33" ht="12.75">
      <c r="A25" s="348" t="s">
        <v>594</v>
      </c>
      <c r="B25" s="301">
        <v>0.403214625634273</v>
      </c>
      <c r="C25" s="301"/>
      <c r="D25" s="301"/>
      <c r="E25" s="301"/>
      <c r="F25" s="301"/>
      <c r="G25" s="301"/>
      <c r="H25" s="301"/>
      <c r="I25" s="301"/>
      <c r="J25" s="301"/>
      <c r="K25" s="301"/>
      <c r="L25" s="301"/>
      <c r="M25" s="301"/>
      <c r="N25" s="301"/>
      <c r="O25" s="301"/>
      <c r="P25" s="48">
        <f>0.01*83.3777556158129</f>
        <v>0.833777556158129</v>
      </c>
      <c r="Q25" s="301"/>
      <c r="R25" s="301">
        <v>0.06702332046571405</v>
      </c>
      <c r="S25" s="301"/>
      <c r="T25" s="301">
        <v>0.0029380085683600675</v>
      </c>
      <c r="U25" s="301"/>
      <c r="V25" s="301">
        <v>0.08329107390872373</v>
      </c>
      <c r="W25" s="301"/>
      <c r="X25" s="301"/>
      <c r="Y25" s="301"/>
      <c r="Z25" s="301"/>
      <c r="AA25" s="301"/>
      <c r="AB25" s="301">
        <v>0.027258896915582316</v>
      </c>
      <c r="AC25" s="301"/>
      <c r="AD25" s="301">
        <v>0.0015143831619767953</v>
      </c>
      <c r="AG25" s="419"/>
    </row>
    <row r="26" spans="1:33" ht="12.75">
      <c r="A26" s="337"/>
      <c r="B26" s="301"/>
      <c r="C26" s="301"/>
      <c r="D26" s="301"/>
      <c r="E26" s="301"/>
      <c r="F26" s="301"/>
      <c r="G26" s="301"/>
      <c r="H26" s="301"/>
      <c r="I26" s="301"/>
      <c r="J26" s="301"/>
      <c r="K26" s="301"/>
      <c r="L26" s="301"/>
      <c r="M26" s="301"/>
      <c r="N26" s="301"/>
      <c r="O26" s="301"/>
      <c r="P26" s="48"/>
      <c r="Q26" s="301"/>
      <c r="R26" s="301"/>
      <c r="S26" s="301"/>
      <c r="T26" s="301"/>
      <c r="U26" s="301"/>
      <c r="V26" s="301"/>
      <c r="W26" s="301"/>
      <c r="X26" s="301"/>
      <c r="Y26" s="301"/>
      <c r="Z26" s="301"/>
      <c r="AA26" s="301"/>
      <c r="AB26" s="301"/>
      <c r="AC26" s="301"/>
      <c r="AD26" s="301"/>
      <c r="AG26" s="419"/>
    </row>
    <row r="27" spans="1:33" ht="12.75">
      <c r="A27" s="348" t="s">
        <v>595</v>
      </c>
      <c r="B27" s="301">
        <v>0.40191646559325084</v>
      </c>
      <c r="C27" s="301"/>
      <c r="D27" s="301"/>
      <c r="E27" s="301"/>
      <c r="F27" s="301"/>
      <c r="G27" s="301"/>
      <c r="H27" s="301"/>
      <c r="I27" s="301"/>
      <c r="J27" s="301"/>
      <c r="K27" s="301"/>
      <c r="L27" s="301"/>
      <c r="M27" s="301"/>
      <c r="N27" s="301"/>
      <c r="O27" s="301"/>
      <c r="P27" s="48">
        <f>0.01*82.4033566546505</f>
        <v>0.824033566546505</v>
      </c>
      <c r="Q27" s="301"/>
      <c r="R27" s="301">
        <v>0.07072380699667855</v>
      </c>
      <c r="S27" s="301"/>
      <c r="T27" s="301">
        <v>0.0031002216765667313</v>
      </c>
      <c r="U27" s="301"/>
      <c r="V27" s="301">
        <v>0.08788973441982854</v>
      </c>
      <c r="W27" s="301"/>
      <c r="X27" s="301"/>
      <c r="Y27" s="301"/>
      <c r="Z27" s="301"/>
      <c r="AA27" s="301"/>
      <c r="AB27" s="301">
        <v>0.023541893148168354</v>
      </c>
      <c r="AC27" s="301"/>
      <c r="AD27" s="301">
        <v>0.0015694595432112237</v>
      </c>
      <c r="AG27" s="419"/>
    </row>
    <row r="28" spans="1:33" ht="12.75">
      <c r="A28" s="337"/>
      <c r="B28" s="301"/>
      <c r="C28" s="301"/>
      <c r="D28" s="301"/>
      <c r="E28" s="301"/>
      <c r="F28" s="301"/>
      <c r="G28" s="301"/>
      <c r="H28" s="301"/>
      <c r="I28" s="301"/>
      <c r="J28" s="301"/>
      <c r="K28" s="301"/>
      <c r="L28" s="301"/>
      <c r="M28" s="301"/>
      <c r="N28" s="301"/>
      <c r="O28" s="301"/>
      <c r="P28" s="48"/>
      <c r="Q28" s="301"/>
      <c r="R28" s="301"/>
      <c r="S28" s="301"/>
      <c r="T28" s="301"/>
      <c r="U28" s="301"/>
      <c r="V28" s="301"/>
      <c r="W28" s="301"/>
      <c r="X28" s="301"/>
      <c r="Y28" s="301"/>
      <c r="Z28" s="301"/>
      <c r="AA28" s="301"/>
      <c r="AB28" s="301"/>
      <c r="AC28" s="301"/>
      <c r="AD28" s="301"/>
      <c r="AG28" s="419"/>
    </row>
    <row r="29" spans="1:33" ht="12.75">
      <c r="A29" s="423" t="s">
        <v>596</v>
      </c>
      <c r="B29" s="424">
        <f>B31+B36+B38+B40+B44</f>
        <v>112.45426265225993</v>
      </c>
      <c r="C29" s="424"/>
      <c r="D29" s="424"/>
      <c r="E29" s="424"/>
      <c r="F29" s="424"/>
      <c r="G29" s="424"/>
      <c r="H29" s="424"/>
      <c r="I29" s="424"/>
      <c r="J29" s="424"/>
      <c r="K29" s="424"/>
      <c r="L29" s="424"/>
      <c r="M29" s="424"/>
      <c r="N29" s="424"/>
      <c r="O29" s="424"/>
      <c r="P29" s="425">
        <f>1-(R29/B29)</f>
        <v>0.651402759890066</v>
      </c>
      <c r="Q29" s="424"/>
      <c r="R29" s="424">
        <f>R31+R36+R38+R40+R44</f>
        <v>39.201245599175444</v>
      </c>
      <c r="S29" s="424"/>
      <c r="T29" s="424">
        <f>T31+T36+T38+T40+T44</f>
        <v>1.7184107659912522</v>
      </c>
      <c r="U29" s="424"/>
      <c r="V29" s="424">
        <f>V31+V36+V38+V40+V44</f>
        <v>48.716086010469</v>
      </c>
      <c r="W29" s="424"/>
      <c r="X29" s="424"/>
      <c r="Y29" s="424"/>
      <c r="Z29" s="424"/>
      <c r="AA29" s="424"/>
      <c r="AB29" s="424">
        <f>AB31+AB36+AB38+AB40+AB44</f>
        <v>11.652105606209307</v>
      </c>
      <c r="AC29" s="424"/>
      <c r="AD29" s="424">
        <f>AD31+AD36+AD38+AD40+AD44</f>
        <v>0.26043555417412134</v>
      </c>
      <c r="AE29" s="426"/>
      <c r="AF29" s="424">
        <f>B29/AD29</f>
        <v>431.79305148587946</v>
      </c>
      <c r="AG29" s="427">
        <f>AD29/B29</f>
        <v>0.002315924252506648</v>
      </c>
    </row>
    <row r="30" spans="1:33" ht="12.75">
      <c r="A30" s="348"/>
      <c r="B30" s="301"/>
      <c r="C30" s="301"/>
      <c r="D30" s="301"/>
      <c r="E30" s="301"/>
      <c r="F30" s="301"/>
      <c r="G30" s="301"/>
      <c r="H30" s="301"/>
      <c r="I30" s="301"/>
      <c r="J30" s="301"/>
      <c r="K30" s="301"/>
      <c r="L30" s="301"/>
      <c r="M30" s="301"/>
      <c r="N30" s="301"/>
      <c r="O30" s="301"/>
      <c r="P30" s="48"/>
      <c r="Q30" s="301"/>
      <c r="R30" s="301"/>
      <c r="S30" s="301"/>
      <c r="T30" s="301"/>
      <c r="U30" s="301"/>
      <c r="V30" s="301"/>
      <c r="W30" s="301"/>
      <c r="X30" s="301"/>
      <c r="Y30" s="301"/>
      <c r="Z30" s="301"/>
      <c r="AA30" s="301"/>
      <c r="AB30" s="301"/>
      <c r="AC30" s="301"/>
      <c r="AD30" s="301"/>
      <c r="AG30" s="419"/>
    </row>
    <row r="31" spans="1:33" ht="12.75">
      <c r="A31" s="337" t="s">
        <v>597</v>
      </c>
      <c r="B31" s="301">
        <v>4.329678994571147</v>
      </c>
      <c r="C31" s="301"/>
      <c r="D31" s="301"/>
      <c r="E31" s="301"/>
      <c r="F31" s="301"/>
      <c r="G31" s="301"/>
      <c r="H31" s="301"/>
      <c r="I31" s="301"/>
      <c r="J31" s="301"/>
      <c r="K31" s="301"/>
      <c r="L31" s="301"/>
      <c r="M31" s="301"/>
      <c r="N31" s="301"/>
      <c r="O31" s="301"/>
      <c r="P31" s="48">
        <f>0.01*54.3091904887801</f>
        <v>0.543091904887801</v>
      </c>
      <c r="Q31" s="301"/>
      <c r="R31" s="301">
        <v>1.978265381856803</v>
      </c>
      <c r="S31" s="301"/>
      <c r="T31" s="301">
        <v>0.08671848249235299</v>
      </c>
      <c r="U31" s="301"/>
      <c r="V31" s="301">
        <v>2.458425619416961</v>
      </c>
      <c r="W31" s="301"/>
      <c r="X31" s="301"/>
      <c r="Y31" s="301"/>
      <c r="Z31" s="301"/>
      <c r="AA31" s="301"/>
      <c r="AB31" s="301">
        <v>0.39160762079208233</v>
      </c>
      <c r="AC31" s="301"/>
      <c r="AD31" s="301">
        <v>0.02175597893289346</v>
      </c>
      <c r="AG31" s="419"/>
    </row>
    <row r="32" spans="1:33" ht="12.75">
      <c r="A32" s="337"/>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G32" s="419"/>
    </row>
    <row r="33" spans="1:33" ht="12.75">
      <c r="A33" s="337" t="s">
        <v>598</v>
      </c>
      <c r="B33" s="301">
        <v>7.84392173217338</v>
      </c>
      <c r="C33" s="301"/>
      <c r="D33" s="301"/>
      <c r="E33" s="301"/>
      <c r="F33" s="301"/>
      <c r="G33" s="301"/>
      <c r="H33" s="301"/>
      <c r="I33" s="301"/>
      <c r="J33" s="301"/>
      <c r="K33" s="301"/>
      <c r="L33" s="301"/>
      <c r="M33" s="301"/>
      <c r="N33" s="301"/>
      <c r="O33" s="301"/>
      <c r="P33" s="301">
        <v>49.392074768273176</v>
      </c>
      <c r="Q33" s="301"/>
      <c r="R33" s="301">
        <v>3.9696460454534757</v>
      </c>
      <c r="S33" s="301"/>
      <c r="T33" s="301">
        <v>0.17401188144453592</v>
      </c>
      <c r="U33" s="301"/>
      <c r="V33" s="301">
        <v>4.93314983301187</v>
      </c>
      <c r="W33" s="301"/>
      <c r="X33" s="301"/>
      <c r="Y33" s="301"/>
      <c r="Z33" s="301"/>
      <c r="AA33" s="301"/>
      <c r="AB33" s="301">
        <v>2.0040921196610726</v>
      </c>
      <c r="AC33" s="301"/>
      <c r="AD33" s="301">
        <v>0.03854023307040524</v>
      </c>
      <c r="AG33" s="419"/>
    </row>
    <row r="34" spans="1:30" ht="12.75">
      <c r="A34" s="337" t="s">
        <v>157</v>
      </c>
      <c r="B34" s="301">
        <v>0.8884229080084571</v>
      </c>
      <c r="C34" s="301"/>
      <c r="D34" s="301"/>
      <c r="E34" s="301"/>
      <c r="F34" s="301"/>
      <c r="G34" s="301"/>
      <c r="H34" s="301"/>
      <c r="I34" s="301"/>
      <c r="J34" s="301"/>
      <c r="K34" s="301"/>
      <c r="L34" s="301"/>
      <c r="M34" s="301"/>
      <c r="N34" s="301"/>
      <c r="O34" s="301"/>
      <c r="P34" s="301">
        <v>51.355000000000004</v>
      </c>
      <c r="Q34" s="301"/>
      <c r="R34" s="301">
        <v>0.43217332360071403</v>
      </c>
      <c r="S34" s="301"/>
      <c r="T34" s="301">
        <v>0.018944584048250477</v>
      </c>
      <c r="U34" s="301"/>
      <c r="V34" s="301">
        <v>0.5370694854758769</v>
      </c>
      <c r="W34" s="301"/>
      <c r="X34" s="301"/>
      <c r="Y34" s="301"/>
      <c r="Z34" s="301"/>
      <c r="AA34" s="301"/>
      <c r="AB34" s="301">
        <v>0.1324280923091203</v>
      </c>
      <c r="AC34" s="301"/>
      <c r="AD34" s="301">
        <v>0.003678558119697786</v>
      </c>
    </row>
    <row r="35" spans="1:30" ht="12.75">
      <c r="A35" s="337" t="s">
        <v>158</v>
      </c>
      <c r="B35" s="301">
        <v>1.6113715001245812</v>
      </c>
      <c r="C35" s="301"/>
      <c r="D35" s="301"/>
      <c r="E35" s="301"/>
      <c r="F35" s="301"/>
      <c r="G35" s="301"/>
      <c r="H35" s="301"/>
      <c r="I35" s="301"/>
      <c r="J35" s="301"/>
      <c r="K35" s="301"/>
      <c r="L35" s="301"/>
      <c r="M35" s="301"/>
      <c r="N35" s="301"/>
      <c r="O35" s="301"/>
      <c r="P35" s="301">
        <v>65.91212200000001</v>
      </c>
      <c r="Q35" s="301"/>
      <c r="R35" s="301">
        <v>0.5492823510892371</v>
      </c>
      <c r="S35" s="301"/>
      <c r="T35" s="301">
        <v>0.02407813045870628</v>
      </c>
      <c r="U35" s="301"/>
      <c r="V35" s="301">
        <v>0.6826029594390937</v>
      </c>
      <c r="W35" s="301"/>
      <c r="X35" s="301"/>
      <c r="Y35" s="301"/>
      <c r="Z35" s="301"/>
      <c r="AA35" s="301"/>
      <c r="AB35" s="301">
        <v>0.25246958773774697</v>
      </c>
      <c r="AC35" s="301"/>
      <c r="AD35" s="301">
        <v>0.004675362735884203</v>
      </c>
    </row>
    <row r="36" spans="1:30" ht="12.75">
      <c r="A36" s="420" t="s">
        <v>151</v>
      </c>
      <c r="B36" s="421">
        <f>SUM(B33:B35)</f>
        <v>10.343716140306418</v>
      </c>
      <c r="C36" s="421"/>
      <c r="D36" s="421"/>
      <c r="E36" s="421"/>
      <c r="F36" s="421"/>
      <c r="G36" s="421"/>
      <c r="H36" s="421"/>
      <c r="I36" s="421"/>
      <c r="J36" s="421"/>
      <c r="K36" s="421"/>
      <c r="L36" s="421"/>
      <c r="M36" s="421"/>
      <c r="N36" s="421"/>
      <c r="O36" s="421"/>
      <c r="P36" s="422">
        <f>1-(R36/B36)</f>
        <v>0.5213420734884207</v>
      </c>
      <c r="Q36" s="421"/>
      <c r="R36" s="421">
        <f>SUM(R33:R35)</f>
        <v>4.951101720143427</v>
      </c>
      <c r="S36" s="421">
        <f aca="true" t="shared" si="0" ref="S36:AD36">SUM(S33:S35)</f>
        <v>0</v>
      </c>
      <c r="T36" s="421">
        <f t="shared" si="0"/>
        <v>0.21703459595149266</v>
      </c>
      <c r="U36" s="421">
        <f t="shared" si="0"/>
        <v>0</v>
      </c>
      <c r="V36" s="421">
        <f t="shared" si="0"/>
        <v>6.152822277926841</v>
      </c>
      <c r="W36" s="421">
        <f t="shared" si="0"/>
        <v>0</v>
      </c>
      <c r="X36" s="421">
        <f t="shared" si="0"/>
        <v>0</v>
      </c>
      <c r="Y36" s="421">
        <f t="shared" si="0"/>
        <v>0</v>
      </c>
      <c r="Z36" s="421">
        <f t="shared" si="0"/>
        <v>0</v>
      </c>
      <c r="AA36" s="421">
        <f t="shared" si="0"/>
        <v>0</v>
      </c>
      <c r="AB36" s="421">
        <f t="shared" si="0"/>
        <v>2.38898979970794</v>
      </c>
      <c r="AC36" s="421">
        <f t="shared" si="0"/>
        <v>0</v>
      </c>
      <c r="AD36" s="421">
        <f t="shared" si="0"/>
        <v>0.046894153925987225</v>
      </c>
    </row>
    <row r="37" spans="1:30" ht="12.75">
      <c r="A37" s="337"/>
      <c r="B37" s="301"/>
      <c r="C37" s="301"/>
      <c r="D37" s="301"/>
      <c r="E37" s="301"/>
      <c r="F37" s="301"/>
      <c r="G37" s="301"/>
      <c r="H37" s="301"/>
      <c r="I37" s="301"/>
      <c r="J37" s="301"/>
      <c r="K37" s="301"/>
      <c r="L37" s="301"/>
      <c r="M37" s="301"/>
      <c r="N37" s="301"/>
      <c r="O37" s="301"/>
      <c r="P37" s="48"/>
      <c r="Q37" s="301"/>
      <c r="R37" s="301"/>
      <c r="S37" s="301"/>
      <c r="T37" s="301"/>
      <c r="U37" s="301"/>
      <c r="V37" s="301"/>
      <c r="W37" s="301"/>
      <c r="X37" s="301"/>
      <c r="Y37" s="301"/>
      <c r="Z37" s="301"/>
      <c r="AA37" s="301"/>
      <c r="AB37" s="301"/>
      <c r="AC37" s="301"/>
      <c r="AD37" s="301"/>
    </row>
    <row r="38" spans="1:32" ht="12.75">
      <c r="A38" s="348" t="s">
        <v>599</v>
      </c>
      <c r="B38" s="382">
        <v>4.62877824505816</v>
      </c>
      <c r="C38" s="382"/>
      <c r="D38" s="382"/>
      <c r="E38" s="382"/>
      <c r="F38" s="382"/>
      <c r="G38" s="382"/>
      <c r="H38" s="382"/>
      <c r="I38" s="382"/>
      <c r="J38" s="382"/>
      <c r="K38" s="382"/>
      <c r="L38" s="382"/>
      <c r="M38" s="382"/>
      <c r="N38" s="382"/>
      <c r="O38" s="382"/>
      <c r="P38" s="293">
        <f>0.01*99.2011200243046</f>
        <v>0.992011200243046</v>
      </c>
      <c r="Q38" s="382"/>
      <c r="R38" s="382">
        <v>0.03697838251911438</v>
      </c>
      <c r="S38" s="382"/>
      <c r="T38" s="382">
        <v>0.0016209701926187124</v>
      </c>
      <c r="U38" s="382"/>
      <c r="V38" s="382">
        <v>0.045953694475644194</v>
      </c>
      <c r="W38" s="382"/>
      <c r="X38" s="382"/>
      <c r="Y38" s="382"/>
      <c r="Z38" s="382"/>
      <c r="AA38" s="382"/>
      <c r="AB38" s="382">
        <v>0.011884576157494189</v>
      </c>
      <c r="AC38" s="382"/>
      <c r="AD38" s="382">
        <v>0.0003961525385831396</v>
      </c>
      <c r="AE38" s="9"/>
      <c r="AF38" s="9"/>
    </row>
    <row r="39" spans="1:30" ht="12.75">
      <c r="A39" s="337"/>
      <c r="B39" s="301"/>
      <c r="C39" s="301"/>
      <c r="D39" s="301"/>
      <c r="E39" s="301"/>
      <c r="F39" s="301"/>
      <c r="G39" s="301"/>
      <c r="H39" s="301"/>
      <c r="I39" s="301"/>
      <c r="J39" s="301"/>
      <c r="K39" s="301"/>
      <c r="L39" s="301"/>
      <c r="M39" s="301"/>
      <c r="N39" s="301"/>
      <c r="O39" s="301"/>
      <c r="Q39" s="301"/>
      <c r="R39" s="301"/>
      <c r="S39" s="301"/>
      <c r="T39" s="301"/>
      <c r="U39" s="301"/>
      <c r="V39" s="301"/>
      <c r="W39" s="301"/>
      <c r="X39" s="301"/>
      <c r="Y39" s="301"/>
      <c r="Z39" s="301"/>
      <c r="AA39" s="301"/>
      <c r="AB39" s="301"/>
      <c r="AC39" s="301"/>
      <c r="AD39" s="301"/>
    </row>
    <row r="40" spans="1:30" ht="12.75">
      <c r="A40" s="348" t="s">
        <v>600</v>
      </c>
      <c r="B40" s="301">
        <v>5.237726434417962</v>
      </c>
      <c r="C40" s="301"/>
      <c r="D40" s="301"/>
      <c r="E40" s="301"/>
      <c r="F40" s="301"/>
      <c r="G40" s="301"/>
      <c r="H40" s="301"/>
      <c r="I40" s="301"/>
      <c r="J40" s="301"/>
      <c r="K40" s="301"/>
      <c r="L40" s="301"/>
      <c r="M40" s="301"/>
      <c r="N40" s="301"/>
      <c r="O40" s="301"/>
      <c r="P40" s="48">
        <f>0.01*78.3734700542092</f>
        <v>0.783734700542092</v>
      </c>
      <c r="Q40" s="301"/>
      <c r="R40" s="301">
        <v>1.132738475818003</v>
      </c>
      <c r="S40" s="301"/>
      <c r="T40" s="301">
        <v>0.04965428935092616</v>
      </c>
      <c r="U40" s="301"/>
      <c r="V40" s="301">
        <v>1.4076742759540812</v>
      </c>
      <c r="W40" s="301"/>
      <c r="X40" s="301"/>
      <c r="Y40" s="301"/>
      <c r="Z40" s="301"/>
      <c r="AA40" s="301"/>
      <c r="AB40" s="301">
        <v>1.6610556456258159</v>
      </c>
      <c r="AC40" s="301"/>
      <c r="AD40" s="301">
        <v>0.009384495173027207</v>
      </c>
    </row>
    <row r="41" spans="1:30" ht="12.75">
      <c r="A41" s="348"/>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row>
    <row r="42" spans="1:30" ht="12.75">
      <c r="A42" s="337" t="s">
        <v>601</v>
      </c>
      <c r="B42" s="301">
        <v>19.588609364940528</v>
      </c>
      <c r="C42" s="301"/>
      <c r="D42" s="301"/>
      <c r="E42" s="301"/>
      <c r="F42" s="301"/>
      <c r="G42" s="301"/>
      <c r="H42" s="301"/>
      <c r="I42" s="301"/>
      <c r="J42" s="301"/>
      <c r="K42" s="301"/>
      <c r="L42" s="301"/>
      <c r="M42" s="301"/>
      <c r="N42" s="301"/>
      <c r="O42" s="301"/>
      <c r="P42" s="301">
        <v>38.01201130252544</v>
      </c>
      <c r="Q42" s="301"/>
      <c r="R42" s="301">
        <v>12.14258495913178</v>
      </c>
      <c r="S42" s="301"/>
      <c r="T42" s="301">
        <v>0.5322776968386533</v>
      </c>
      <c r="U42" s="301"/>
      <c r="V42" s="301">
        <v>15.089806566527404</v>
      </c>
      <c r="W42" s="301"/>
      <c r="X42" s="301"/>
      <c r="Y42" s="301"/>
      <c r="Z42" s="301"/>
      <c r="AA42" s="301"/>
      <c r="AB42" s="301">
        <v>2.6826322784937604</v>
      </c>
      <c r="AC42" s="301"/>
      <c r="AD42" s="301">
        <v>0.08383225870293001</v>
      </c>
    </row>
    <row r="43" spans="1:30" ht="12.75">
      <c r="A43" s="337" t="s">
        <v>157</v>
      </c>
      <c r="B43" s="382">
        <v>68.32575347296572</v>
      </c>
      <c r="C43" s="301"/>
      <c r="D43" s="301"/>
      <c r="E43" s="301"/>
      <c r="F43" s="301"/>
      <c r="G43" s="301"/>
      <c r="H43" s="301"/>
      <c r="I43" s="301"/>
      <c r="J43" s="301"/>
      <c r="K43" s="301"/>
      <c r="L43" s="301"/>
      <c r="M43" s="301"/>
      <c r="N43" s="301"/>
      <c r="O43" s="301"/>
      <c r="P43" s="301">
        <v>72.2512</v>
      </c>
      <c r="Q43" s="301"/>
      <c r="R43" s="301">
        <v>18.959576679706316</v>
      </c>
      <c r="S43" s="301"/>
      <c r="T43" s="301">
        <v>0.8311047311652084</v>
      </c>
      <c r="U43" s="301"/>
      <c r="V43" s="301">
        <v>23.561403576168072</v>
      </c>
      <c r="W43" s="301"/>
      <c r="X43" s="301"/>
      <c r="Y43" s="301"/>
      <c r="Z43" s="301"/>
      <c r="AA43" s="301"/>
      <c r="AB43" s="301">
        <v>4.515935685432214</v>
      </c>
      <c r="AC43" s="301"/>
      <c r="AD43" s="301">
        <v>0.09817251490070031</v>
      </c>
    </row>
    <row r="44" spans="1:30" ht="12.75">
      <c r="A44" s="420" t="s">
        <v>155</v>
      </c>
      <c r="B44" s="421">
        <f>SUM(B42:B43)</f>
        <v>87.91436283790624</v>
      </c>
      <c r="C44" s="421"/>
      <c r="D44" s="421"/>
      <c r="E44" s="421"/>
      <c r="F44" s="421"/>
      <c r="G44" s="421"/>
      <c r="H44" s="421"/>
      <c r="I44" s="421"/>
      <c r="J44" s="421"/>
      <c r="K44" s="421"/>
      <c r="L44" s="421"/>
      <c r="M44" s="421"/>
      <c r="N44" s="421"/>
      <c r="O44" s="421"/>
      <c r="P44" s="422">
        <f>1-(R44/B44)</f>
        <v>0.6462220661692869</v>
      </c>
      <c r="Q44" s="421"/>
      <c r="R44" s="421">
        <f>SUM(R42:R43)</f>
        <v>31.102161638838098</v>
      </c>
      <c r="S44" s="421"/>
      <c r="T44" s="421">
        <f>SUM(T42:T43)</f>
        <v>1.3633824280038618</v>
      </c>
      <c r="U44" s="421"/>
      <c r="V44" s="421">
        <f>SUM(V42:V43)</f>
        <v>38.651210142695476</v>
      </c>
      <c r="W44" s="421"/>
      <c r="X44" s="421"/>
      <c r="Y44" s="421"/>
      <c r="Z44" s="421"/>
      <c r="AA44" s="421"/>
      <c r="AB44" s="421">
        <f>SUM(AB42:AB43)</f>
        <v>7.198567963925974</v>
      </c>
      <c r="AC44" s="421"/>
      <c r="AD44" s="421">
        <f>SUM(AD42:AD43)</f>
        <v>0.18200477360363032</v>
      </c>
    </row>
    <row r="45" spans="1:30" ht="12.75">
      <c r="A45" s="337"/>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row>
    <row r="46" spans="1:33" ht="12.75">
      <c r="A46" s="352" t="s">
        <v>602</v>
      </c>
      <c r="B46" s="428">
        <f>B51+B55+B59+B66</f>
        <v>147.05049726888785</v>
      </c>
      <c r="C46" s="428"/>
      <c r="D46" s="428"/>
      <c r="E46" s="428"/>
      <c r="F46" s="428"/>
      <c r="G46" s="428"/>
      <c r="H46" s="428"/>
      <c r="I46" s="428"/>
      <c r="J46" s="428"/>
      <c r="K46" s="428"/>
      <c r="L46" s="428"/>
      <c r="M46" s="428"/>
      <c r="N46" s="428"/>
      <c r="O46" s="428"/>
      <c r="P46" s="429">
        <f>1-(R46/B46)</f>
        <v>0.574676842903606</v>
      </c>
      <c r="Q46" s="428"/>
      <c r="R46" s="428">
        <f>R51+R55+R59+R66</f>
        <v>62.54398175099804</v>
      </c>
      <c r="S46" s="428">
        <f aca="true" t="shared" si="1" ref="S46:AD46">S51+S55+S59+S66</f>
        <v>0</v>
      </c>
      <c r="T46" s="428">
        <f t="shared" si="1"/>
        <v>2.741653994564298</v>
      </c>
      <c r="U46" s="428">
        <f t="shared" si="1"/>
        <v>0</v>
      </c>
      <c r="V46" s="428">
        <f t="shared" si="1"/>
        <v>77.72451991890055</v>
      </c>
      <c r="W46" s="428">
        <f t="shared" si="1"/>
        <v>0</v>
      </c>
      <c r="X46" s="428">
        <f t="shared" si="1"/>
        <v>0</v>
      </c>
      <c r="Y46" s="428">
        <f t="shared" si="1"/>
        <v>0</v>
      </c>
      <c r="Z46" s="428">
        <f t="shared" si="1"/>
        <v>0</v>
      </c>
      <c r="AA46" s="428">
        <f t="shared" si="1"/>
        <v>0</v>
      </c>
      <c r="AB46" s="428">
        <f t="shared" si="1"/>
        <v>85.21381304614394</v>
      </c>
      <c r="AC46" s="428">
        <f t="shared" si="1"/>
        <v>0</v>
      </c>
      <c r="AD46" s="428">
        <f t="shared" si="1"/>
        <v>0.6798823596963234</v>
      </c>
      <c r="AE46" s="430"/>
      <c r="AF46" s="428">
        <f>B46/AD46</f>
        <v>216.28814922418272</v>
      </c>
      <c r="AG46" s="431">
        <f>AD46/B46</f>
        <v>0.004623461819738907</v>
      </c>
    </row>
    <row r="47" spans="1:33" s="33" customFormat="1" ht="12.75">
      <c r="A47" s="432"/>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F47" s="6"/>
      <c r="AG47" s="6"/>
    </row>
    <row r="48" spans="1:30" ht="12.75">
      <c r="A48" s="337" t="s">
        <v>603</v>
      </c>
      <c r="B48" s="301">
        <v>9.023258037280348</v>
      </c>
      <c r="C48" s="301"/>
      <c r="D48" s="301"/>
      <c r="E48" s="301"/>
      <c r="F48" s="301"/>
      <c r="G48" s="301"/>
      <c r="H48" s="301"/>
      <c r="I48" s="301"/>
      <c r="J48" s="301"/>
      <c r="K48" s="301"/>
      <c r="L48" s="301"/>
      <c r="M48" s="301"/>
      <c r="N48" s="301"/>
      <c r="O48" s="301"/>
      <c r="P48" s="301">
        <v>96.34250479429215</v>
      </c>
      <c r="Q48" s="301"/>
      <c r="R48" s="301">
        <v>0.3300252301121757</v>
      </c>
      <c r="S48" s="301"/>
      <c r="T48" s="301">
        <v>0.014466859402177568</v>
      </c>
      <c r="U48" s="301"/>
      <c r="V48" s="301">
        <v>0.41012823062203285</v>
      </c>
      <c r="W48" s="301"/>
      <c r="X48" s="301"/>
      <c r="Y48" s="301"/>
      <c r="Z48" s="301"/>
      <c r="AA48" s="301"/>
      <c r="AB48" s="301">
        <v>0.35153848339031385</v>
      </c>
      <c r="AC48" s="301"/>
      <c r="AD48" s="301">
        <v>0.0026631703287144995</v>
      </c>
    </row>
    <row r="49" spans="1:30" ht="12.75">
      <c r="A49" s="337" t="s">
        <v>157</v>
      </c>
      <c r="B49" s="301">
        <v>7.276598540121522</v>
      </c>
      <c r="C49" s="301"/>
      <c r="D49" s="301"/>
      <c r="E49" s="301"/>
      <c r="F49" s="301"/>
      <c r="G49" s="301"/>
      <c r="H49" s="301"/>
      <c r="I49" s="301"/>
      <c r="J49" s="301"/>
      <c r="K49" s="301"/>
      <c r="L49" s="301"/>
      <c r="M49" s="301"/>
      <c r="N49" s="301"/>
      <c r="O49" s="301"/>
      <c r="P49" s="301">
        <v>36.1834</v>
      </c>
      <c r="Q49" s="301"/>
      <c r="R49" s="301">
        <v>4.643677783955191</v>
      </c>
      <c r="S49" s="301"/>
      <c r="T49" s="301">
        <v>0.20355847820077547</v>
      </c>
      <c r="U49" s="301"/>
      <c r="V49" s="301">
        <v>5.7707810777528845</v>
      </c>
      <c r="W49" s="301"/>
      <c r="X49" s="301"/>
      <c r="Y49" s="301"/>
      <c r="Z49" s="301"/>
      <c r="AA49" s="301"/>
      <c r="AB49" s="301">
        <v>4.679962703299595</v>
      </c>
      <c r="AC49" s="301"/>
      <c r="AD49" s="301">
        <v>0.03518768949849319</v>
      </c>
    </row>
    <row r="50" spans="1:30" ht="12.75">
      <c r="A50" s="337" t="s">
        <v>158</v>
      </c>
      <c r="B50" s="301">
        <v>9.253216620558547</v>
      </c>
      <c r="C50" s="301"/>
      <c r="D50" s="301"/>
      <c r="E50" s="301"/>
      <c r="F50" s="301"/>
      <c r="G50" s="301"/>
      <c r="H50" s="301"/>
      <c r="I50" s="301"/>
      <c r="J50" s="301"/>
      <c r="K50" s="301"/>
      <c r="L50" s="301"/>
      <c r="M50" s="301"/>
      <c r="N50" s="301"/>
      <c r="O50" s="301"/>
      <c r="P50" s="301">
        <v>83.74055680000001</v>
      </c>
      <c r="Q50" s="301"/>
      <c r="R50" s="301">
        <v>1.5045215005926764</v>
      </c>
      <c r="S50" s="301"/>
      <c r="T50" s="301">
        <v>0.06595162742324061</v>
      </c>
      <c r="U50" s="301"/>
      <c r="V50" s="301">
        <v>1.8696956616351597</v>
      </c>
      <c r="W50" s="301"/>
      <c r="X50" s="301"/>
      <c r="Y50" s="301"/>
      <c r="Z50" s="301"/>
      <c r="AA50" s="301"/>
      <c r="AB50" s="301">
        <v>1.5162775792529035</v>
      </c>
      <c r="AC50" s="301"/>
      <c r="AD50" s="301">
        <v>0.011400583302653412</v>
      </c>
    </row>
    <row r="51" spans="1:30" ht="12.75">
      <c r="A51" s="420" t="s">
        <v>140</v>
      </c>
      <c r="B51" s="421">
        <f>SUM(B48:B50)</f>
        <v>25.553073197960416</v>
      </c>
      <c r="C51" s="421"/>
      <c r="D51" s="421"/>
      <c r="E51" s="421"/>
      <c r="F51" s="421"/>
      <c r="G51" s="421"/>
      <c r="H51" s="421"/>
      <c r="I51" s="421"/>
      <c r="J51" s="421"/>
      <c r="K51" s="421"/>
      <c r="L51" s="421"/>
      <c r="M51" s="421"/>
      <c r="N51" s="421"/>
      <c r="O51" s="421"/>
      <c r="P51" s="422">
        <f>1-(R51/B51)</f>
        <v>0.7464796322355027</v>
      </c>
      <c r="Q51" s="421"/>
      <c r="R51" s="421">
        <f aca="true" t="shared" si="2" ref="R51:AD51">SUM(R48:R50)</f>
        <v>6.478224514660043</v>
      </c>
      <c r="S51" s="421">
        <f t="shared" si="2"/>
        <v>0</v>
      </c>
      <c r="T51" s="421">
        <f t="shared" si="2"/>
        <v>0.28397696502619363</v>
      </c>
      <c r="U51" s="421">
        <f t="shared" si="2"/>
        <v>0</v>
      </c>
      <c r="V51" s="421">
        <f t="shared" si="2"/>
        <v>8.050604970010077</v>
      </c>
      <c r="W51" s="421">
        <f t="shared" si="2"/>
        <v>0</v>
      </c>
      <c r="X51" s="421">
        <f t="shared" si="2"/>
        <v>0</v>
      </c>
      <c r="Y51" s="421">
        <f t="shared" si="2"/>
        <v>0</v>
      </c>
      <c r="Z51" s="421">
        <f t="shared" si="2"/>
        <v>0</v>
      </c>
      <c r="AA51" s="421">
        <f t="shared" si="2"/>
        <v>0</v>
      </c>
      <c r="AB51" s="421">
        <f t="shared" si="2"/>
        <v>6.547778765942812</v>
      </c>
      <c r="AC51" s="421">
        <f t="shared" si="2"/>
        <v>0</v>
      </c>
      <c r="AD51" s="421">
        <f t="shared" si="2"/>
        <v>0.0492514431298611</v>
      </c>
    </row>
    <row r="52" spans="1:30" ht="12.75">
      <c r="A52" s="337"/>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row>
    <row r="53" spans="1:30" ht="12.75">
      <c r="A53" s="337" t="s">
        <v>604</v>
      </c>
      <c r="B53" s="301">
        <v>1.192489154613789</v>
      </c>
      <c r="C53" s="301"/>
      <c r="D53" s="301"/>
      <c r="E53" s="301"/>
      <c r="F53" s="301"/>
      <c r="G53" s="301"/>
      <c r="H53" s="301"/>
      <c r="I53" s="301"/>
      <c r="J53" s="301"/>
      <c r="K53" s="301"/>
      <c r="L53" s="301"/>
      <c r="M53" s="301"/>
      <c r="N53" s="301"/>
      <c r="O53" s="301"/>
      <c r="P53" s="301">
        <v>52.849599999999995</v>
      </c>
      <c r="Q53" s="301"/>
      <c r="R53" s="301">
        <v>0.5622634063570201</v>
      </c>
      <c r="S53" s="301"/>
      <c r="T53" s="301">
        <v>0.02464716301838992</v>
      </c>
      <c r="U53" s="301"/>
      <c r="V53" s="301">
        <v>0.6987347479898449</v>
      </c>
      <c r="W53" s="301"/>
      <c r="X53" s="301"/>
      <c r="Y53" s="301"/>
      <c r="Z53" s="301"/>
      <c r="AA53" s="301"/>
      <c r="AB53" s="301">
        <v>0.480893914793011</v>
      </c>
      <c r="AC53" s="301"/>
      <c r="AD53" s="301">
        <v>0.004110204399940266</v>
      </c>
    </row>
    <row r="54" spans="1:30" ht="12.75">
      <c r="A54" s="337" t="s">
        <v>158</v>
      </c>
      <c r="B54" s="301">
        <v>1.6955479409129872</v>
      </c>
      <c r="C54" s="301"/>
      <c r="D54" s="301"/>
      <c r="E54" s="301"/>
      <c r="F54" s="301"/>
      <c r="G54" s="301"/>
      <c r="H54" s="301"/>
      <c r="I54" s="301"/>
      <c r="J54" s="301"/>
      <c r="K54" s="301"/>
      <c r="L54" s="301"/>
      <c r="M54" s="301"/>
      <c r="N54" s="301"/>
      <c r="O54" s="301"/>
      <c r="P54" s="301">
        <v>34.458800800000006</v>
      </c>
      <c r="Q54" s="301"/>
      <c r="R54" s="301">
        <v>1.1112824534852794</v>
      </c>
      <c r="S54" s="301"/>
      <c r="T54" s="301">
        <v>0.048713751385656076</v>
      </c>
      <c r="U54" s="301"/>
      <c r="V54" s="301">
        <v>1.3810104949076574</v>
      </c>
      <c r="W54" s="301"/>
      <c r="X54" s="301"/>
      <c r="Y54" s="301"/>
      <c r="Z54" s="301"/>
      <c r="AA54" s="301"/>
      <c r="AB54" s="301">
        <v>1.078914449146607</v>
      </c>
      <c r="AC54" s="301"/>
      <c r="AD54" s="301">
        <v>0.008631315593172855</v>
      </c>
    </row>
    <row r="55" spans="1:30" ht="12.75">
      <c r="A55" s="420" t="s">
        <v>605</v>
      </c>
      <c r="B55" s="421">
        <f>SUM(B53:B54)</f>
        <v>2.8880370955267765</v>
      </c>
      <c r="C55" s="421"/>
      <c r="D55" s="421"/>
      <c r="E55" s="421"/>
      <c r="F55" s="421"/>
      <c r="G55" s="421"/>
      <c r="H55" s="421"/>
      <c r="I55" s="421"/>
      <c r="J55" s="421"/>
      <c r="K55" s="421"/>
      <c r="L55" s="421"/>
      <c r="M55" s="421"/>
      <c r="N55" s="421"/>
      <c r="O55" s="421"/>
      <c r="P55" s="422">
        <f>1-(R55/B55)</f>
        <v>0.4205248047421477</v>
      </c>
      <c r="Q55" s="421"/>
      <c r="R55" s="421">
        <f>SUM(R53:R54)</f>
        <v>1.6735458598422994</v>
      </c>
      <c r="S55" s="421"/>
      <c r="T55" s="421">
        <f>SUM(T53:T54)</f>
        <v>0.07336091440404599</v>
      </c>
      <c r="U55" s="421"/>
      <c r="V55" s="421">
        <f>SUM(V53:V54)</f>
        <v>2.079745242897502</v>
      </c>
      <c r="W55" s="421"/>
      <c r="X55" s="421"/>
      <c r="Y55" s="421"/>
      <c r="Z55" s="421"/>
      <c r="AA55" s="421"/>
      <c r="AB55" s="421">
        <f>SUM(AB53:AB54)</f>
        <v>1.5598083639396179</v>
      </c>
      <c r="AC55" s="421"/>
      <c r="AD55" s="421">
        <f>SUM(AD53:AD54)</f>
        <v>0.012741519993113121</v>
      </c>
    </row>
    <row r="56" spans="1:30" ht="12.75">
      <c r="A56" s="337"/>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row>
    <row r="57" spans="1:30" ht="12.75">
      <c r="A57" s="337" t="s">
        <v>606</v>
      </c>
      <c r="B57" s="301">
        <v>0.024635852720121247</v>
      </c>
      <c r="C57" s="301"/>
      <c r="D57" s="301"/>
      <c r="E57" s="301"/>
      <c r="F57" s="301"/>
      <c r="G57" s="301"/>
      <c r="H57" s="301"/>
      <c r="I57" s="301"/>
      <c r="J57" s="301"/>
      <c r="K57" s="301"/>
      <c r="L57" s="301"/>
      <c r="M57" s="301"/>
      <c r="N57" s="301"/>
      <c r="O57" s="301"/>
      <c r="P57" s="301">
        <v>86.23679999999999</v>
      </c>
      <c r="Q57" s="301"/>
      <c r="R57" s="301">
        <v>0.0033906816815757273</v>
      </c>
      <c r="S57" s="301"/>
      <c r="T57" s="301">
        <v>0.0001486326216581141</v>
      </c>
      <c r="U57" s="301"/>
      <c r="V57" s="301">
        <v>0.004213660507696705</v>
      </c>
      <c r="W57" s="301"/>
      <c r="X57" s="301"/>
      <c r="Y57" s="301"/>
      <c r="Z57" s="301"/>
      <c r="AA57" s="301"/>
      <c r="AB57" s="301">
        <v>0.004753873393298847</v>
      </c>
      <c r="AC57" s="301"/>
      <c r="AD57" s="301">
        <v>2.7010644280107086E-05</v>
      </c>
    </row>
    <row r="58" spans="1:30" ht="12.75">
      <c r="A58" s="337" t="s">
        <v>158</v>
      </c>
      <c r="B58" s="301">
        <v>0.3231437988667468</v>
      </c>
      <c r="C58" s="301"/>
      <c r="D58" s="301"/>
      <c r="E58" s="301"/>
      <c r="F58" s="301"/>
      <c r="G58" s="301"/>
      <c r="H58" s="301"/>
      <c r="I58" s="301"/>
      <c r="J58" s="301"/>
      <c r="K58" s="301"/>
      <c r="L58" s="301"/>
      <c r="M58" s="301"/>
      <c r="N58" s="301"/>
      <c r="O58" s="301"/>
      <c r="P58" s="301">
        <v>34.647619047619045</v>
      </c>
      <c r="Q58" s="301"/>
      <c r="R58" s="301">
        <v>0.21118216645939203</v>
      </c>
      <c r="S58" s="301"/>
      <c r="T58" s="301">
        <v>0.009257300447534993</v>
      </c>
      <c r="U58" s="301"/>
      <c r="V58" s="301">
        <v>0.26243983903739326</v>
      </c>
      <c r="W58" s="301"/>
      <c r="X58" s="301"/>
      <c r="Y58" s="301"/>
      <c r="Z58" s="301"/>
      <c r="AA58" s="301"/>
      <c r="AB58" s="301">
        <v>0.2755618309892629</v>
      </c>
      <c r="AC58" s="301"/>
      <c r="AD58" s="301">
        <v>0.001457999105763296</v>
      </c>
    </row>
    <row r="59" spans="1:30" ht="12.75">
      <c r="A59" s="420" t="s">
        <v>607</v>
      </c>
      <c r="B59" s="421">
        <f>SUM(B57:B58)</f>
        <v>0.3477796515868681</v>
      </c>
      <c r="C59" s="421"/>
      <c r="D59" s="421"/>
      <c r="E59" s="421"/>
      <c r="F59" s="421"/>
      <c r="G59" s="421"/>
      <c r="H59" s="421"/>
      <c r="I59" s="421"/>
      <c r="J59" s="421"/>
      <c r="K59" s="421"/>
      <c r="L59" s="421"/>
      <c r="M59" s="421"/>
      <c r="N59" s="421"/>
      <c r="O59" s="421"/>
      <c r="P59" s="422">
        <f>1-(R59/B59)</f>
        <v>0.38302069381603265</v>
      </c>
      <c r="Q59" s="421"/>
      <c r="R59" s="421">
        <f>SUM(R57:R58)</f>
        <v>0.21457284814096775</v>
      </c>
      <c r="S59" s="421"/>
      <c r="T59" s="421">
        <f>SUM(T57:T58)</f>
        <v>0.009405933069193108</v>
      </c>
      <c r="U59" s="421"/>
      <c r="V59" s="421">
        <f>SUM(V57:V58)</f>
        <v>0.26665349954509</v>
      </c>
      <c r="W59" s="421"/>
      <c r="X59" s="421"/>
      <c r="Y59" s="421"/>
      <c r="Z59" s="421"/>
      <c r="AA59" s="421"/>
      <c r="AB59" s="421">
        <f>SUM(AB57:AB58)</f>
        <v>0.28031570438256176</v>
      </c>
      <c r="AC59" s="421"/>
      <c r="AD59" s="421">
        <f>SUM(AD57:AD58)</f>
        <v>0.0014850097500434033</v>
      </c>
    </row>
    <row r="60" spans="1:30" ht="12.75">
      <c r="A60" s="337"/>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row>
    <row r="61" spans="1:30" ht="12.75">
      <c r="A61" s="337" t="s">
        <v>608</v>
      </c>
      <c r="B61" s="382">
        <v>37.432191124455045</v>
      </c>
      <c r="C61" s="301"/>
      <c r="D61" s="301"/>
      <c r="E61" s="301"/>
      <c r="F61" s="301"/>
      <c r="G61" s="301"/>
      <c r="H61" s="301"/>
      <c r="I61" s="301"/>
      <c r="J61" s="301"/>
      <c r="K61" s="301"/>
      <c r="L61" s="301"/>
      <c r="M61" s="301"/>
      <c r="N61" s="301"/>
      <c r="O61" s="301"/>
      <c r="P61" s="301">
        <v>24.60094786546712</v>
      </c>
      <c r="Q61" s="301"/>
      <c r="R61" s="301">
        <v>28.22351730102585</v>
      </c>
      <c r="S61" s="301"/>
      <c r="T61" s="301">
        <v>1.2371952789490783</v>
      </c>
      <c r="U61" s="301"/>
      <c r="V61" s="301">
        <v>35.073867560566896</v>
      </c>
      <c r="W61" s="301"/>
      <c r="X61" s="301"/>
      <c r="Y61" s="301"/>
      <c r="Z61" s="301"/>
      <c r="AA61" s="301"/>
      <c r="AB61" s="301">
        <v>24.551707292396827</v>
      </c>
      <c r="AC61" s="301"/>
      <c r="AD61" s="301">
        <v>0.23382578373711266</v>
      </c>
    </row>
    <row r="62" spans="1:30" ht="12.75">
      <c r="A62" s="337" t="s">
        <v>157</v>
      </c>
      <c r="B62" s="301">
        <v>0.8301834809986582</v>
      </c>
      <c r="C62" s="301"/>
      <c r="D62" s="301"/>
      <c r="E62" s="301"/>
      <c r="F62" s="301"/>
      <c r="G62" s="301"/>
      <c r="H62" s="301"/>
      <c r="I62" s="301"/>
      <c r="J62" s="301"/>
      <c r="K62" s="301"/>
      <c r="L62" s="301"/>
      <c r="M62" s="301"/>
      <c r="N62" s="301"/>
      <c r="O62" s="301"/>
      <c r="P62" s="301">
        <v>51.947199999999995</v>
      </c>
      <c r="Q62" s="301"/>
      <c r="R62" s="301">
        <v>0.3989264077573232</v>
      </c>
      <c r="S62" s="301"/>
      <c r="T62" s="301">
        <v>0.01748718499758129</v>
      </c>
      <c r="U62" s="301"/>
      <c r="V62" s="301">
        <v>0.4957529510889308</v>
      </c>
      <c r="W62" s="301"/>
      <c r="X62" s="301"/>
      <c r="Y62" s="301"/>
      <c r="Z62" s="301"/>
      <c r="AA62" s="301"/>
      <c r="AB62" s="301">
        <v>0.2974517706533585</v>
      </c>
      <c r="AC62" s="301"/>
      <c r="AD62" s="301">
        <v>0.002754183061605171</v>
      </c>
    </row>
    <row r="63" spans="1:30" ht="12.75">
      <c r="A63" s="337" t="s">
        <v>158</v>
      </c>
      <c r="B63" s="382">
        <v>51.51199750683971</v>
      </c>
      <c r="C63" s="301"/>
      <c r="D63" s="301"/>
      <c r="E63" s="301"/>
      <c r="F63" s="301"/>
      <c r="G63" s="301"/>
      <c r="H63" s="301"/>
      <c r="I63" s="301"/>
      <c r="J63" s="301"/>
      <c r="K63" s="301"/>
      <c r="L63" s="301"/>
      <c r="M63" s="301"/>
      <c r="N63" s="301"/>
      <c r="O63" s="301"/>
      <c r="P63" s="301">
        <v>60.52</v>
      </c>
      <c r="Q63" s="301"/>
      <c r="R63" s="301">
        <v>20.336936615700317</v>
      </c>
      <c r="S63" s="301"/>
      <c r="T63" s="301">
        <v>0.8914821530170002</v>
      </c>
      <c r="U63" s="301"/>
      <c r="V63" s="301">
        <v>25.27307329695544</v>
      </c>
      <c r="W63" s="301"/>
      <c r="X63" s="301"/>
      <c r="Y63" s="301"/>
      <c r="Z63" s="301"/>
      <c r="AA63" s="301"/>
      <c r="AB63" s="301">
        <v>19.71855169322897</v>
      </c>
      <c r="AC63" s="301"/>
      <c r="AD63" s="301">
        <v>0.13886304009316178</v>
      </c>
    </row>
    <row r="64" spans="1:30" ht="12.75">
      <c r="A64" s="337" t="s">
        <v>609</v>
      </c>
      <c r="B64" s="382">
        <v>12.17422287886605</v>
      </c>
      <c r="C64" s="301"/>
      <c r="D64" s="301"/>
      <c r="E64" s="301"/>
      <c r="F64" s="301"/>
      <c r="G64" s="301"/>
      <c r="H64" s="301"/>
      <c r="I64" s="301"/>
      <c r="J64" s="301"/>
      <c r="K64" s="301"/>
      <c r="L64" s="301"/>
      <c r="M64" s="301"/>
      <c r="N64" s="301"/>
      <c r="O64" s="301"/>
      <c r="P64" s="301">
        <v>87.3664</v>
      </c>
      <c r="Q64" s="301"/>
      <c r="R64" s="301">
        <v>1.5380426216244218</v>
      </c>
      <c r="S64" s="301"/>
      <c r="T64" s="301">
        <v>0.06742104642737193</v>
      </c>
      <c r="U64" s="301"/>
      <c r="V64" s="301">
        <v>1.9113529556927797</v>
      </c>
      <c r="W64" s="301"/>
      <c r="X64" s="301"/>
      <c r="Y64" s="301"/>
      <c r="Z64" s="301"/>
      <c r="AA64" s="301"/>
      <c r="AB64" s="301">
        <v>6.76937505141193</v>
      </c>
      <c r="AC64" s="301"/>
      <c r="AD64" s="301">
        <v>0.07963970648719916</v>
      </c>
    </row>
    <row r="65" spans="1:30" ht="12.75">
      <c r="A65" s="337" t="s">
        <v>610</v>
      </c>
      <c r="B65" s="301">
        <v>16.313012332654353</v>
      </c>
      <c r="C65" s="301"/>
      <c r="D65" s="301"/>
      <c r="E65" s="301"/>
      <c r="F65" s="301"/>
      <c r="G65" s="301"/>
      <c r="H65" s="301"/>
      <c r="I65" s="301"/>
      <c r="J65" s="301"/>
      <c r="K65" s="301"/>
      <c r="L65" s="301"/>
      <c r="M65" s="301"/>
      <c r="N65" s="301"/>
      <c r="O65" s="301"/>
      <c r="P65" s="301">
        <v>77.44</v>
      </c>
      <c r="Q65" s="301"/>
      <c r="R65" s="301">
        <v>3.6802155822468228</v>
      </c>
      <c r="S65" s="301"/>
      <c r="T65" s="301">
        <v>0.1613245186738333</v>
      </c>
      <c r="U65" s="301"/>
      <c r="V65" s="301">
        <v>4.573469442143837</v>
      </c>
      <c r="W65" s="301"/>
      <c r="X65" s="301"/>
      <c r="Y65" s="301"/>
      <c r="Z65" s="301"/>
      <c r="AA65" s="301"/>
      <c r="AB65" s="301">
        <v>25.488824404187874</v>
      </c>
      <c r="AC65" s="301"/>
      <c r="AD65" s="301">
        <v>0.16132167344422704</v>
      </c>
    </row>
    <row r="66" spans="1:30" ht="12.75">
      <c r="A66" s="420" t="s">
        <v>153</v>
      </c>
      <c r="B66" s="421">
        <f>SUM(B61:B65)</f>
        <v>118.2616073238138</v>
      </c>
      <c r="C66" s="421"/>
      <c r="D66" s="421"/>
      <c r="E66" s="421"/>
      <c r="F66" s="421"/>
      <c r="G66" s="421"/>
      <c r="H66" s="421"/>
      <c r="I66" s="421"/>
      <c r="J66" s="421"/>
      <c r="K66" s="421"/>
      <c r="L66" s="421"/>
      <c r="M66" s="421"/>
      <c r="N66" s="421"/>
      <c r="O66" s="421"/>
      <c r="P66" s="422">
        <f>1-(R66/B66)</f>
        <v>0.5418831203603536</v>
      </c>
      <c r="Q66" s="421"/>
      <c r="R66" s="421">
        <f>SUM(R61:R65)</f>
        <v>54.177638528354734</v>
      </c>
      <c r="S66" s="421">
        <f aca="true" t="shared" si="3" ref="S66:AD66">SUM(S61:S65)</f>
        <v>0</v>
      </c>
      <c r="T66" s="421">
        <f t="shared" si="3"/>
        <v>2.3749101820648653</v>
      </c>
      <c r="U66" s="421">
        <f t="shared" si="3"/>
        <v>0</v>
      </c>
      <c r="V66" s="421">
        <f t="shared" si="3"/>
        <v>67.32751620644788</v>
      </c>
      <c r="W66" s="421">
        <f t="shared" si="3"/>
        <v>0</v>
      </c>
      <c r="X66" s="421">
        <f t="shared" si="3"/>
        <v>0</v>
      </c>
      <c r="Y66" s="421">
        <f t="shared" si="3"/>
        <v>0</v>
      </c>
      <c r="Z66" s="421">
        <f t="shared" si="3"/>
        <v>0</v>
      </c>
      <c r="AA66" s="421">
        <f t="shared" si="3"/>
        <v>0</v>
      </c>
      <c r="AB66" s="421">
        <f t="shared" si="3"/>
        <v>76.82591021187895</v>
      </c>
      <c r="AC66" s="421">
        <f t="shared" si="3"/>
        <v>0</v>
      </c>
      <c r="AD66" s="421">
        <f t="shared" si="3"/>
        <v>0.6164043868233058</v>
      </c>
    </row>
    <row r="67" spans="1:30" ht="12.75">
      <c r="A67" s="337"/>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row>
    <row r="68" spans="1:33" ht="12.75">
      <c r="A68" s="353" t="s">
        <v>611</v>
      </c>
      <c r="B68" s="433">
        <f>B73+B75+B79+B83+B85+B87+B91+B93+B98+B100+B102+B104+B108+B110+B114+B116</f>
        <v>99.89004465367242</v>
      </c>
      <c r="C68" s="433"/>
      <c r="D68" s="433"/>
      <c r="E68" s="433"/>
      <c r="F68" s="433"/>
      <c r="G68" s="433"/>
      <c r="H68" s="433"/>
      <c r="I68" s="433"/>
      <c r="J68" s="433"/>
      <c r="K68" s="433"/>
      <c r="L68" s="433"/>
      <c r="M68" s="433"/>
      <c r="N68" s="433"/>
      <c r="O68" s="433"/>
      <c r="P68" s="434">
        <f>1-(R68/B68)</f>
        <v>0.561703043838554</v>
      </c>
      <c r="Q68" s="433"/>
      <c r="R68" s="433">
        <f>R73+R75+R79+R83+R85+R87+R91+R93+R98+R100+R102+R104+R108+R110+R114+R116</f>
        <v>43.78150252253554</v>
      </c>
      <c r="S68" s="433">
        <f>S132+S73+S133+S75+S79+S83+S85+S87+S91+S93+S98+S100+S102+S104+S108+S110+S114+S116</f>
        <v>0</v>
      </c>
      <c r="T68" s="433">
        <f>T73+T75+T79+T83+T85+T87+T91+T93+T98+T100+T102+T104+T108+T110+T114+T116</f>
        <v>1.9191891516727908</v>
      </c>
      <c r="U68" s="433">
        <f>U132+U73+U133+U75+U79+U83+U85+U87+U91+U93+U98+U100+U102+U104+U108+U110+U114+U116</f>
        <v>0</v>
      </c>
      <c r="V68" s="433">
        <f>V73+V75+V79+V83+V85+V87+V91+V93+V98+V100+V102+V104+V108+V110+V114+V116</f>
        <v>54.40805285534779</v>
      </c>
      <c r="W68" s="433">
        <f>W132+W73+W133+W75+W79+W83+W85+W87+W91+W93+W98+W100+W102+W104+W108+W110+W114+W116</f>
        <v>0</v>
      </c>
      <c r="X68" s="433">
        <f>X132+X73+X133+X75+X79+X83+X85+X87+X91+X93+X98+X100+X102+X104+X108+X110+X114+X116</f>
        <v>0</v>
      </c>
      <c r="Y68" s="433">
        <f>Y132+Y73+Y133+Y75+Y79+Y83+Y85+Y87+Y91+Y93+Y98+Y100+Y102+Y104+Y108+Y110+Y114+Y116</f>
        <v>0</v>
      </c>
      <c r="Z68" s="433">
        <f>Z132+Z73+Z133+Z75+Z79+Z83+Z85+Z87+Z91+Z93+Z98+Z100+Z102+Z104+Z108+Z110+Z114+Z116</f>
        <v>0</v>
      </c>
      <c r="AA68" s="433">
        <f>AA132+AA73+AA133+AA75+AA79+AA83+AA85+AA87+AA91+AA93+AA98+AA100+AA102+AA104+AA108+AA110+AA114+AA116</f>
        <v>0</v>
      </c>
      <c r="AB68" s="433">
        <f>AB73+AB75+AB79+AB83+AB85+AB87+AB91+AB93+AB98+AB100+AB102+AB104+AB108+AB110+AB114+AB116</f>
        <v>16.166591821056596</v>
      </c>
      <c r="AC68" s="433">
        <f>AC132+AC73+AC133+AC75+AC79+AC83+AC85+AC87+AC91+AC93+AC98+AC100+AC102+AC104+AC108+AC110+AC114+AC116</f>
        <v>0</v>
      </c>
      <c r="AD68" s="433">
        <f>AD73+AD75+AD79+AD83+AD85+AD87+AD91+AD93+AD98+AD100+AD102+AD104+AD108+AD110+AD114+AD116</f>
        <v>0.44820096808455784</v>
      </c>
      <c r="AE68" s="433">
        <f>AE132+AE73+AE133+AE75+AE79+AE83+AE85+AE87+AE91+AE93+AE98+AE100+AE102+AE104+AE108+AE110+AE114+AE116</f>
        <v>0</v>
      </c>
      <c r="AF68" s="433">
        <f>B68/AD68</f>
        <v>222.86887304274433</v>
      </c>
      <c r="AG68" s="435">
        <f>AD68/B68</f>
        <v>0.004486943314907007</v>
      </c>
    </row>
    <row r="69" spans="1:33" s="33" customFormat="1" ht="12.75">
      <c r="A69" s="432"/>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6"/>
      <c r="AF69" s="6"/>
      <c r="AG69" s="6"/>
    </row>
    <row r="70" spans="1:30" ht="12.75">
      <c r="A70" s="337" t="s">
        <v>613</v>
      </c>
      <c r="B70" s="301">
        <v>1.2279863001411768</v>
      </c>
      <c r="C70" s="301"/>
      <c r="D70" s="301"/>
      <c r="E70" s="301"/>
      <c r="F70" s="301"/>
      <c r="G70" s="301"/>
      <c r="H70" s="301"/>
      <c r="I70" s="301"/>
      <c r="J70" s="301"/>
      <c r="K70" s="301"/>
      <c r="L70" s="301"/>
      <c r="M70" s="301"/>
      <c r="N70" s="301"/>
      <c r="O70" s="301"/>
      <c r="P70" s="301">
        <v>71.14740205763317</v>
      </c>
      <c r="Q70" s="301"/>
      <c r="R70" s="301">
        <v>0.3543059499670797</v>
      </c>
      <c r="S70" s="301"/>
      <c r="T70" s="301">
        <v>0.015531219724584317</v>
      </c>
      <c r="U70" s="301"/>
      <c r="V70" s="301">
        <v>0.4403023135821031</v>
      </c>
      <c r="W70" s="301"/>
      <c r="X70" s="301"/>
      <c r="Y70" s="301"/>
      <c r="Z70" s="301"/>
      <c r="AA70" s="301"/>
      <c r="AB70" s="301">
        <v>0.08871763034863271</v>
      </c>
      <c r="AC70" s="301"/>
      <c r="AD70" s="301">
        <v>0.0032858381610604706</v>
      </c>
    </row>
    <row r="71" spans="1:30" ht="12.75">
      <c r="A71" s="337" t="s">
        <v>157</v>
      </c>
      <c r="B71" s="301">
        <v>0.15904785123630344</v>
      </c>
      <c r="C71" s="301"/>
      <c r="D71" s="301"/>
      <c r="E71" s="301"/>
      <c r="F71" s="301"/>
      <c r="G71" s="301"/>
      <c r="H71" s="301"/>
      <c r="I71" s="301"/>
      <c r="J71" s="301"/>
      <c r="K71" s="301"/>
      <c r="L71" s="301"/>
      <c r="M71" s="301"/>
      <c r="N71" s="301"/>
      <c r="O71" s="301"/>
      <c r="P71" s="301">
        <v>24.461599999999994</v>
      </c>
      <c r="Q71" s="301"/>
      <c r="R71" s="301">
        <v>0.12014220205828385</v>
      </c>
      <c r="S71" s="301"/>
      <c r="T71" s="301">
        <v>0.005266507487486416</v>
      </c>
      <c r="U71" s="301"/>
      <c r="V71" s="301">
        <v>0.14930285401649615</v>
      </c>
      <c r="W71" s="301"/>
      <c r="X71" s="301"/>
      <c r="Y71" s="301"/>
      <c r="Z71" s="301"/>
      <c r="AA71" s="301"/>
      <c r="AB71" s="301">
        <v>0.028379881341978608</v>
      </c>
      <c r="AC71" s="301"/>
      <c r="AD71" s="301">
        <v>0.0006169539422169262</v>
      </c>
    </row>
    <row r="72" spans="1:30" ht="12.75">
      <c r="A72" s="337" t="s">
        <v>158</v>
      </c>
      <c r="B72" s="301">
        <v>0.09111647063358108</v>
      </c>
      <c r="C72" s="301"/>
      <c r="D72" s="301"/>
      <c r="E72" s="301"/>
      <c r="F72" s="301"/>
      <c r="G72" s="301"/>
      <c r="H72" s="301"/>
      <c r="I72" s="301"/>
      <c r="J72" s="301"/>
      <c r="K72" s="301"/>
      <c r="L72" s="301"/>
      <c r="M72" s="301"/>
      <c r="N72" s="301"/>
      <c r="O72" s="301"/>
      <c r="P72" s="301">
        <v>63.771065199999995</v>
      </c>
      <c r="Q72" s="301"/>
      <c r="R72" s="301">
        <v>0.03301052673790124</v>
      </c>
      <c r="S72" s="301"/>
      <c r="T72" s="301">
        <v>0.001447036788510739</v>
      </c>
      <c r="U72" s="301"/>
      <c r="V72" s="301">
        <v>0.04102276943588519</v>
      </c>
      <c r="W72" s="301"/>
      <c r="X72" s="301"/>
      <c r="Y72" s="301"/>
      <c r="Z72" s="301"/>
      <c r="AA72" s="301"/>
      <c r="AB72" s="301">
        <v>0.007292936788601811</v>
      </c>
      <c r="AC72" s="301"/>
      <c r="AD72" s="301">
        <v>0.0002279042746438066</v>
      </c>
    </row>
    <row r="73" spans="1:30" ht="12.75">
      <c r="A73" s="351" t="s">
        <v>614</v>
      </c>
      <c r="B73" s="421">
        <f>SUM(B70:B72)</f>
        <v>1.4781506220110612</v>
      </c>
      <c r="C73" s="421"/>
      <c r="D73" s="421"/>
      <c r="E73" s="421"/>
      <c r="F73" s="421"/>
      <c r="G73" s="421"/>
      <c r="H73" s="421"/>
      <c r="I73" s="421"/>
      <c r="J73" s="421"/>
      <c r="K73" s="421"/>
      <c r="L73" s="421"/>
      <c r="M73" s="421"/>
      <c r="N73" s="421"/>
      <c r="O73" s="421"/>
      <c r="P73" s="422">
        <f>1-(R73/B73)</f>
        <v>0.6566935255401412</v>
      </c>
      <c r="Q73" s="421"/>
      <c r="R73" s="421">
        <f aca="true" t="shared" si="4" ref="R73:AD73">SUM(R70:R72)</f>
        <v>0.5074586787632648</v>
      </c>
      <c r="S73" s="421">
        <f t="shared" si="4"/>
        <v>0</v>
      </c>
      <c r="T73" s="421">
        <f t="shared" si="4"/>
        <v>0.02224476400058147</v>
      </c>
      <c r="U73" s="421">
        <f t="shared" si="4"/>
        <v>0</v>
      </c>
      <c r="V73" s="421">
        <f t="shared" si="4"/>
        <v>0.6306279370344845</v>
      </c>
      <c r="W73" s="421">
        <f t="shared" si="4"/>
        <v>0</v>
      </c>
      <c r="X73" s="421">
        <f t="shared" si="4"/>
        <v>0</v>
      </c>
      <c r="Y73" s="421">
        <f t="shared" si="4"/>
        <v>0</v>
      </c>
      <c r="Z73" s="421">
        <f t="shared" si="4"/>
        <v>0</v>
      </c>
      <c r="AA73" s="421">
        <f t="shared" si="4"/>
        <v>0</v>
      </c>
      <c r="AB73" s="421">
        <f t="shared" si="4"/>
        <v>0.12439044847921313</v>
      </c>
      <c r="AC73" s="421">
        <f t="shared" si="4"/>
        <v>0</v>
      </c>
      <c r="AD73" s="421">
        <f t="shared" si="4"/>
        <v>0.0041306963779212036</v>
      </c>
    </row>
    <row r="74" spans="1:30" ht="12.75">
      <c r="A74" s="337"/>
      <c r="B74" s="301"/>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row>
    <row r="75" spans="1:30" ht="12.75">
      <c r="A75" s="337" t="s">
        <v>616</v>
      </c>
      <c r="B75" s="301">
        <v>0.2974123047740745</v>
      </c>
      <c r="C75" s="301"/>
      <c r="D75" s="301"/>
      <c r="E75" s="301"/>
      <c r="F75" s="301"/>
      <c r="G75" s="301"/>
      <c r="H75" s="301"/>
      <c r="I75" s="301"/>
      <c r="J75" s="301"/>
      <c r="K75" s="301"/>
      <c r="L75" s="301"/>
      <c r="M75" s="301"/>
      <c r="N75" s="301"/>
      <c r="O75" s="301"/>
      <c r="P75" s="48">
        <f>0.01*41.6996765460495</f>
        <v>0.416996765460495</v>
      </c>
      <c r="Q75" s="301"/>
      <c r="R75" s="301">
        <v>0.17339233567513443</v>
      </c>
      <c r="S75" s="301"/>
      <c r="T75" s="301">
        <v>0.007600759920005892</v>
      </c>
      <c r="U75" s="301"/>
      <c r="V75" s="301">
        <v>0.21547774335220704</v>
      </c>
      <c r="W75" s="301"/>
      <c r="X75" s="301"/>
      <c r="Y75" s="301"/>
      <c r="Z75" s="301"/>
      <c r="AA75" s="301"/>
      <c r="AB75" s="301">
        <v>0.09304720735663485</v>
      </c>
      <c r="AC75" s="301"/>
      <c r="AD75" s="301">
        <v>0.0024486107199114438</v>
      </c>
    </row>
    <row r="76" spans="1:30" ht="12.75">
      <c r="A76" s="337"/>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row>
    <row r="77" spans="1:30" ht="12.75">
      <c r="A77" s="337" t="s">
        <v>617</v>
      </c>
      <c r="B77" s="301">
        <v>7.693222963423468</v>
      </c>
      <c r="C77" s="301"/>
      <c r="D77" s="301"/>
      <c r="E77" s="301"/>
      <c r="F77" s="301"/>
      <c r="G77" s="301"/>
      <c r="H77" s="301"/>
      <c r="I77" s="301"/>
      <c r="J77" s="301"/>
      <c r="K77" s="301"/>
      <c r="L77" s="301"/>
      <c r="M77" s="301"/>
      <c r="N77" s="301"/>
      <c r="O77" s="301"/>
      <c r="P77" s="301">
        <v>55.25055578797996</v>
      </c>
      <c r="Q77" s="301"/>
      <c r="R77" s="301">
        <v>3.442674518123499</v>
      </c>
      <c r="S77" s="301"/>
      <c r="T77" s="301">
        <v>0.15091175969856435</v>
      </c>
      <c r="U77" s="301"/>
      <c r="V77" s="301">
        <v>4.278272931574451</v>
      </c>
      <c r="W77" s="301"/>
      <c r="X77" s="301"/>
      <c r="Y77" s="301"/>
      <c r="Z77" s="301"/>
      <c r="AA77" s="301"/>
      <c r="AB77" s="301">
        <v>1.0094801299220613</v>
      </c>
      <c r="AC77" s="301"/>
      <c r="AD77" s="301">
        <v>0.04807048237724101</v>
      </c>
    </row>
    <row r="78" spans="1:30" ht="12.75">
      <c r="A78" s="337" t="s">
        <v>157</v>
      </c>
      <c r="B78" s="301">
        <v>0.9618712608664781</v>
      </c>
      <c r="C78" s="301"/>
      <c r="D78" s="301"/>
      <c r="E78" s="301"/>
      <c r="F78" s="301"/>
      <c r="G78" s="301"/>
      <c r="H78" s="301"/>
      <c r="I78" s="301"/>
      <c r="J78" s="301"/>
      <c r="K78" s="301"/>
      <c r="L78" s="301"/>
      <c r="M78" s="301"/>
      <c r="N78" s="301"/>
      <c r="O78" s="301"/>
      <c r="P78" s="301">
        <v>65.2576</v>
      </c>
      <c r="Q78" s="301"/>
      <c r="R78" s="301">
        <v>0.3341771609352752</v>
      </c>
      <c r="S78" s="301"/>
      <c r="T78" s="301">
        <v>0.014648861849217543</v>
      </c>
      <c r="U78" s="301"/>
      <c r="V78" s="301">
        <v>0.41528790899439283</v>
      </c>
      <c r="W78" s="301"/>
      <c r="X78" s="301"/>
      <c r="Y78" s="301"/>
      <c r="Z78" s="301"/>
      <c r="AA78" s="301"/>
      <c r="AB78" s="301">
        <v>0.07896319396372256</v>
      </c>
      <c r="AC78" s="301"/>
      <c r="AD78" s="301">
        <v>0.002924562739397132</v>
      </c>
    </row>
    <row r="79" spans="1:30" ht="12.75">
      <c r="A79" s="351" t="s">
        <v>618</v>
      </c>
      <c r="B79" s="421">
        <f>SUM(B77:B78)</f>
        <v>8.655094224289947</v>
      </c>
      <c r="C79" s="421"/>
      <c r="D79" s="421"/>
      <c r="E79" s="421"/>
      <c r="F79" s="421"/>
      <c r="G79" s="421"/>
      <c r="H79" s="421"/>
      <c r="I79" s="421"/>
      <c r="J79" s="421"/>
      <c r="K79" s="421"/>
      <c r="L79" s="421"/>
      <c r="M79" s="421"/>
      <c r="N79" s="421"/>
      <c r="O79" s="421"/>
      <c r="P79" s="422">
        <f>1-(R79/B79)</f>
        <v>0.5636267403699325</v>
      </c>
      <c r="Q79" s="421"/>
      <c r="R79" s="421">
        <f>SUM(R77:R78)</f>
        <v>3.7768516790587743</v>
      </c>
      <c r="S79" s="421"/>
      <c r="T79" s="421">
        <f>SUM(T77:T78)</f>
        <v>0.1655606215477819</v>
      </c>
      <c r="U79" s="421"/>
      <c r="V79" s="421">
        <f>SUM(V77:V78)</f>
        <v>4.693560840568844</v>
      </c>
      <c r="W79" s="421"/>
      <c r="X79" s="421"/>
      <c r="Y79" s="421"/>
      <c r="Z79" s="421"/>
      <c r="AA79" s="421"/>
      <c r="AB79" s="421">
        <f>SUM(AB77:AB78)</f>
        <v>1.0884433238857838</v>
      </c>
      <c r="AC79" s="421"/>
      <c r="AD79" s="421">
        <f>SUM(AD77:AD78)</f>
        <v>0.05099504511663814</v>
      </c>
    </row>
    <row r="80" spans="1:30" ht="12.75">
      <c r="A80" s="337"/>
      <c r="B80" s="301"/>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row>
    <row r="81" spans="1:30" ht="12.75">
      <c r="A81" s="337" t="s">
        <v>619</v>
      </c>
      <c r="B81" s="301">
        <v>1.6043588923756325</v>
      </c>
      <c r="C81" s="301"/>
      <c r="D81" s="301"/>
      <c r="E81" s="301"/>
      <c r="F81" s="301"/>
      <c r="G81" s="301"/>
      <c r="H81" s="301"/>
      <c r="I81" s="301"/>
      <c r="J81" s="301"/>
      <c r="K81" s="301"/>
      <c r="L81" s="301"/>
      <c r="M81" s="301"/>
      <c r="N81" s="301"/>
      <c r="O81" s="301"/>
      <c r="P81" s="301">
        <v>76.26609487399328</v>
      </c>
      <c r="Q81" s="301"/>
      <c r="R81" s="301">
        <v>0.3807770173970848</v>
      </c>
      <c r="S81" s="301"/>
      <c r="T81" s="301">
        <v>0.01669159528315988</v>
      </c>
      <c r="U81" s="301"/>
      <c r="V81" s="301">
        <v>0.473198380479941</v>
      </c>
      <c r="W81" s="301"/>
      <c r="X81" s="301"/>
      <c r="Y81" s="301"/>
      <c r="Z81" s="301"/>
      <c r="AA81" s="301"/>
      <c r="AB81" s="301">
        <v>0.11829959511998525</v>
      </c>
      <c r="AC81" s="301"/>
      <c r="AD81" s="301">
        <v>0.00473198380479941</v>
      </c>
    </row>
    <row r="82" spans="1:30" ht="12.75">
      <c r="A82" s="337" t="s">
        <v>158</v>
      </c>
      <c r="B82" s="301">
        <v>0.3782968867511685</v>
      </c>
      <c r="C82" s="301"/>
      <c r="D82" s="301"/>
      <c r="E82" s="301"/>
      <c r="F82" s="301"/>
      <c r="G82" s="301"/>
      <c r="H82" s="301"/>
      <c r="I82" s="301"/>
      <c r="J82" s="301"/>
      <c r="K82" s="301"/>
      <c r="L82" s="301"/>
      <c r="M82" s="301"/>
      <c r="N82" s="301"/>
      <c r="O82" s="301"/>
      <c r="P82" s="301">
        <v>52.0119754</v>
      </c>
      <c r="Q82" s="301"/>
      <c r="R82" s="301">
        <v>0.1815372030751849</v>
      </c>
      <c r="S82" s="301"/>
      <c r="T82" s="301">
        <v>0.007957795203295776</v>
      </c>
      <c r="U82" s="301"/>
      <c r="V82" s="301">
        <v>0.2255995151158336</v>
      </c>
      <c r="W82" s="301"/>
      <c r="X82" s="301"/>
      <c r="Y82" s="301"/>
      <c r="Z82" s="301"/>
      <c r="AA82" s="301"/>
      <c r="AB82" s="301">
        <v>0.0426132417441019</v>
      </c>
      <c r="AC82" s="301"/>
      <c r="AD82" s="301">
        <v>0.0012533306395324088</v>
      </c>
    </row>
    <row r="83" spans="1:30" ht="12.75">
      <c r="A83" s="351" t="s">
        <v>620</v>
      </c>
      <c r="B83" s="421">
        <f>SUM(B81:B82)</f>
        <v>1.982655779126801</v>
      </c>
      <c r="C83" s="421"/>
      <c r="D83" s="421"/>
      <c r="E83" s="421"/>
      <c r="F83" s="421"/>
      <c r="G83" s="421"/>
      <c r="H83" s="421"/>
      <c r="I83" s="421"/>
      <c r="J83" s="421"/>
      <c r="K83" s="421"/>
      <c r="L83" s="421"/>
      <c r="M83" s="421"/>
      <c r="N83" s="421"/>
      <c r="O83" s="421"/>
      <c r="P83" s="422">
        <f>1-(R83/B83)</f>
        <v>0.7163833347209048</v>
      </c>
      <c r="Q83" s="421"/>
      <c r="R83" s="421">
        <f>SUM(R81:R82)</f>
        <v>0.5623142204722698</v>
      </c>
      <c r="S83" s="421"/>
      <c r="T83" s="421">
        <f>SUM(T81:T82)</f>
        <v>0.024649390486455657</v>
      </c>
      <c r="U83" s="421"/>
      <c r="V83" s="421">
        <f>SUM(V81:V82)</f>
        <v>0.6987978955957745</v>
      </c>
      <c r="W83" s="421"/>
      <c r="X83" s="421"/>
      <c r="Y83" s="421"/>
      <c r="Z83" s="421"/>
      <c r="AA83" s="421"/>
      <c r="AB83" s="421">
        <f>SUM(AB81:AB82)</f>
        <v>0.16091283686408714</v>
      </c>
      <c r="AC83" s="421"/>
      <c r="AD83" s="421">
        <f>SUM(AD81:AD82)</f>
        <v>0.005985314444331818</v>
      </c>
    </row>
    <row r="84" spans="1:30" ht="12.75">
      <c r="A84" s="337"/>
      <c r="B84" s="301"/>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row>
    <row r="85" spans="1:30" ht="12.75">
      <c r="A85" s="337" t="s">
        <v>621</v>
      </c>
      <c r="B85" s="301">
        <v>6.203137260297697</v>
      </c>
      <c r="C85" s="301"/>
      <c r="D85" s="301"/>
      <c r="E85" s="301"/>
      <c r="F85" s="301"/>
      <c r="G85" s="301"/>
      <c r="H85" s="301"/>
      <c r="I85" s="301"/>
      <c r="J85" s="301"/>
      <c r="K85" s="301"/>
      <c r="L85" s="301"/>
      <c r="M85" s="301"/>
      <c r="N85" s="301"/>
      <c r="O85" s="301"/>
      <c r="P85" s="48">
        <f>0.01*55.8729060552634</f>
        <v>0.558729060552634</v>
      </c>
      <c r="Q85" s="301"/>
      <c r="R85" s="301">
        <v>2.737264206372527</v>
      </c>
      <c r="S85" s="301"/>
      <c r="T85" s="301">
        <v>0.1199896638409875</v>
      </c>
      <c r="U85" s="301"/>
      <c r="V85" s="301">
        <v>3.401646975060075</v>
      </c>
      <c r="W85" s="301"/>
      <c r="X85" s="301"/>
      <c r="Y85" s="301"/>
      <c r="Z85" s="301"/>
      <c r="AA85" s="301"/>
      <c r="AB85" s="301">
        <v>0.471515422285555</v>
      </c>
      <c r="AC85" s="301"/>
      <c r="AD85" s="301">
        <v>0.03367967302039678</v>
      </c>
    </row>
    <row r="86" spans="1:30" ht="12.75">
      <c r="A86" s="337"/>
      <c r="B86" s="301"/>
      <c r="C86" s="301"/>
      <c r="D86" s="301"/>
      <c r="E86" s="301"/>
      <c r="F86" s="301"/>
      <c r="G86" s="301"/>
      <c r="H86" s="301"/>
      <c r="I86" s="301"/>
      <c r="J86" s="301"/>
      <c r="K86" s="301"/>
      <c r="L86" s="301"/>
      <c r="M86" s="301"/>
      <c r="N86" s="301"/>
      <c r="O86" s="301"/>
      <c r="P86" s="48"/>
      <c r="Q86" s="301"/>
      <c r="R86" s="301"/>
      <c r="S86" s="301"/>
      <c r="T86" s="301"/>
      <c r="U86" s="301"/>
      <c r="V86" s="301"/>
      <c r="W86" s="301"/>
      <c r="X86" s="301"/>
      <c r="Y86" s="301"/>
      <c r="Z86" s="301"/>
      <c r="AA86" s="301"/>
      <c r="AB86" s="301"/>
      <c r="AC86" s="301"/>
      <c r="AD86" s="301"/>
    </row>
    <row r="87" spans="1:30" ht="12.75">
      <c r="A87" s="337" t="s">
        <v>688</v>
      </c>
      <c r="B87" s="301">
        <v>6.30675018191257</v>
      </c>
      <c r="C87" s="301"/>
      <c r="D87" s="301"/>
      <c r="E87" s="301"/>
      <c r="F87" s="301"/>
      <c r="G87" s="301"/>
      <c r="H87" s="301"/>
      <c r="I87" s="301"/>
      <c r="J87" s="301"/>
      <c r="K87" s="301"/>
      <c r="L87" s="301"/>
      <c r="M87" s="301"/>
      <c r="N87" s="301"/>
      <c r="O87" s="301"/>
      <c r="P87" s="48">
        <f>0.01*34.1248</f>
        <v>0.341248</v>
      </c>
      <c r="Q87" s="301"/>
      <c r="R87" s="301">
        <v>4.154584295835269</v>
      </c>
      <c r="S87" s="301"/>
      <c r="T87" s="301">
        <v>0.1821187636530529</v>
      </c>
      <c r="U87" s="301"/>
      <c r="V87" s="301">
        <v>5.162975890182223</v>
      </c>
      <c r="W87" s="301"/>
      <c r="X87" s="301"/>
      <c r="Y87" s="301"/>
      <c r="Z87" s="301"/>
      <c r="AA87" s="301"/>
      <c r="AB87" s="301">
        <v>1.100928682465327</v>
      </c>
      <c r="AC87" s="301"/>
      <c r="AD87" s="301">
        <v>0.037963058016045756</v>
      </c>
    </row>
    <row r="88" spans="1:30" ht="12.75">
      <c r="A88" s="337"/>
      <c r="B88" s="301"/>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row>
    <row r="89" spans="1:30" ht="12.75">
      <c r="A89" s="337" t="s">
        <v>622</v>
      </c>
      <c r="B89" s="301">
        <v>6.505660734902352</v>
      </c>
      <c r="C89" s="301"/>
      <c r="D89" s="301"/>
      <c r="E89" s="301"/>
      <c r="F89" s="301"/>
      <c r="G89" s="301"/>
      <c r="H89" s="301"/>
      <c r="I89" s="301"/>
      <c r="J89" s="301"/>
      <c r="K89" s="301"/>
      <c r="L89" s="301"/>
      <c r="M89" s="301"/>
      <c r="N89" s="301"/>
      <c r="O89" s="301"/>
      <c r="P89" s="301">
        <v>64.59228118023466</v>
      </c>
      <c r="Q89" s="301"/>
      <c r="R89" s="301">
        <v>2.303506060382103</v>
      </c>
      <c r="S89" s="301"/>
      <c r="T89" s="301">
        <v>0.10097560812633877</v>
      </c>
      <c r="U89" s="301"/>
      <c r="V89" s="301">
        <v>2.8626080025776406</v>
      </c>
      <c r="W89" s="301"/>
      <c r="X89" s="301"/>
      <c r="Y89" s="301"/>
      <c r="Z89" s="301"/>
      <c r="AA89" s="301"/>
      <c r="AB89" s="301">
        <v>0.33677741206795775</v>
      </c>
      <c r="AC89" s="301"/>
      <c r="AD89" s="301">
        <v>0.024055529433425548</v>
      </c>
    </row>
    <row r="90" spans="1:30" ht="12.75">
      <c r="A90" s="337" t="s">
        <v>157</v>
      </c>
      <c r="B90" s="301">
        <v>3.809112888948147</v>
      </c>
      <c r="C90" s="301"/>
      <c r="D90" s="301"/>
      <c r="E90" s="301"/>
      <c r="F90" s="301"/>
      <c r="G90" s="301"/>
      <c r="H90" s="301"/>
      <c r="I90" s="301"/>
      <c r="J90" s="301"/>
      <c r="K90" s="301"/>
      <c r="L90" s="301"/>
      <c r="M90" s="301"/>
      <c r="N90" s="301"/>
      <c r="O90" s="301"/>
      <c r="P90" s="301">
        <v>63.528</v>
      </c>
      <c r="Q90" s="301"/>
      <c r="R90" s="301">
        <v>1.3892596528571681</v>
      </c>
      <c r="S90" s="301"/>
      <c r="T90" s="301">
        <v>0.06089905327593066</v>
      </c>
      <c r="U90" s="301"/>
      <c r="V90" s="301">
        <v>1.7264577108459964</v>
      </c>
      <c r="W90" s="301"/>
      <c r="X90" s="301"/>
      <c r="Y90" s="301"/>
      <c r="Z90" s="301"/>
      <c r="AA90" s="301"/>
      <c r="AB90" s="301">
        <v>2.019432352686529</v>
      </c>
      <c r="AC90" s="301"/>
      <c r="AD90" s="301">
        <v>0.01046338006573331</v>
      </c>
    </row>
    <row r="91" spans="1:30" ht="12.75">
      <c r="A91" s="351" t="s">
        <v>623</v>
      </c>
      <c r="B91" s="421">
        <f>SUM(B89:B90)</f>
        <v>10.314773623850499</v>
      </c>
      <c r="C91" s="421"/>
      <c r="D91" s="421"/>
      <c r="E91" s="421"/>
      <c r="F91" s="421"/>
      <c r="G91" s="421"/>
      <c r="H91" s="421"/>
      <c r="I91" s="421"/>
      <c r="J91" s="421"/>
      <c r="K91" s="421"/>
      <c r="L91" s="421"/>
      <c r="M91" s="421"/>
      <c r="N91" s="421"/>
      <c r="O91" s="421"/>
      <c r="P91" s="422">
        <f>1-(R91/B91)</f>
        <v>0.6419925586441747</v>
      </c>
      <c r="Q91" s="421"/>
      <c r="R91" s="421">
        <f>SUM(R89:R90)</f>
        <v>3.692765713239271</v>
      </c>
      <c r="S91" s="421"/>
      <c r="T91" s="421">
        <f>SUM(T89:T90)</f>
        <v>0.16187466140226942</v>
      </c>
      <c r="U91" s="421"/>
      <c r="V91" s="421">
        <f>SUM(V89:V90)</f>
        <v>4.589065713423637</v>
      </c>
      <c r="W91" s="421"/>
      <c r="X91" s="421"/>
      <c r="Y91" s="421"/>
      <c r="Z91" s="421"/>
      <c r="AA91" s="421"/>
      <c r="AB91" s="421">
        <f>SUM(AB89:AB90)</f>
        <v>2.3562097647544866</v>
      </c>
      <c r="AC91" s="421"/>
      <c r="AD91" s="421">
        <f>SUM(AD89:AD90)</f>
        <v>0.03451890949915886</v>
      </c>
    </row>
    <row r="92" spans="1:30" ht="12.75">
      <c r="A92" s="337"/>
      <c r="B92" s="301"/>
      <c r="C92" s="301"/>
      <c r="D92" s="301"/>
      <c r="E92" s="301"/>
      <c r="F92" s="301"/>
      <c r="G92" s="301"/>
      <c r="H92" s="301"/>
      <c r="I92" s="301"/>
      <c r="J92" s="301"/>
      <c r="K92" s="301"/>
      <c r="L92" s="301"/>
      <c r="M92" s="301"/>
      <c r="N92" s="301"/>
      <c r="O92" s="301"/>
      <c r="P92" s="48"/>
      <c r="Q92" s="301"/>
      <c r="R92" s="301"/>
      <c r="S92" s="301"/>
      <c r="T92" s="301"/>
      <c r="U92" s="301"/>
      <c r="V92" s="301"/>
      <c r="W92" s="301"/>
      <c r="X92" s="301"/>
      <c r="Y92" s="301"/>
      <c r="Z92" s="301"/>
      <c r="AA92" s="301"/>
      <c r="AB92" s="301"/>
      <c r="AC92" s="301"/>
      <c r="AD92" s="301"/>
    </row>
    <row r="93" spans="1:30" ht="12.75">
      <c r="A93" s="337" t="s">
        <v>624</v>
      </c>
      <c r="B93" s="301">
        <v>0.8468956854203021</v>
      </c>
      <c r="C93" s="301"/>
      <c r="D93" s="301"/>
      <c r="E93" s="301"/>
      <c r="F93" s="301"/>
      <c r="G93" s="301"/>
      <c r="H93" s="301"/>
      <c r="I93" s="301"/>
      <c r="J93" s="301"/>
      <c r="K93" s="301"/>
      <c r="L93" s="301"/>
      <c r="M93" s="301"/>
      <c r="N93" s="301"/>
      <c r="O93" s="301"/>
      <c r="P93" s="48">
        <f>0.01*61.0571720481396</f>
        <v>0.610571720481396</v>
      </c>
      <c r="Q93" s="301"/>
      <c r="R93" s="301">
        <v>0.32980512970495696</v>
      </c>
      <c r="S93" s="301"/>
      <c r="T93" s="301">
        <v>0.014457211165148798</v>
      </c>
      <c r="U93" s="301"/>
      <c r="V93" s="301">
        <v>0.40985470792638584</v>
      </c>
      <c r="W93" s="301"/>
      <c r="X93" s="301"/>
      <c r="Y93" s="301"/>
      <c r="Z93" s="301"/>
      <c r="AA93" s="301"/>
      <c r="AB93" s="301">
        <v>0.0999645629088746</v>
      </c>
      <c r="AC93" s="301"/>
      <c r="AD93" s="301">
        <v>0.0049982281454437295</v>
      </c>
    </row>
    <row r="94" spans="1:30" ht="12.75">
      <c r="A94" s="337"/>
      <c r="B94" s="301"/>
      <c r="C94" s="301"/>
      <c r="D94" s="301"/>
      <c r="E94" s="301"/>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row>
    <row r="95" spans="1:30" ht="12.75">
      <c r="A95" s="337" t="s">
        <v>625</v>
      </c>
      <c r="B95" s="301">
        <v>1.9766520625907127</v>
      </c>
      <c r="C95" s="301"/>
      <c r="D95" s="301"/>
      <c r="E95" s="301"/>
      <c r="F95" s="301"/>
      <c r="G95" s="301"/>
      <c r="H95" s="301"/>
      <c r="I95" s="301"/>
      <c r="J95" s="301"/>
      <c r="K95" s="301"/>
      <c r="L95" s="301"/>
      <c r="M95" s="301"/>
      <c r="N95" s="301"/>
      <c r="O95" s="301"/>
      <c r="P95" s="301">
        <v>51.00709476676812</v>
      </c>
      <c r="Q95" s="301"/>
      <c r="R95" s="301">
        <v>0.9684192718157911</v>
      </c>
      <c r="S95" s="301"/>
      <c r="T95" s="301">
        <v>0.042451255750829205</v>
      </c>
      <c r="U95" s="301"/>
      <c r="V95" s="301">
        <v>1.2034718749081326</v>
      </c>
      <c r="W95" s="301"/>
      <c r="X95" s="301"/>
      <c r="Y95" s="301"/>
      <c r="Z95" s="301"/>
      <c r="AA95" s="301"/>
      <c r="AB95" s="301">
        <v>0.37198221588069547</v>
      </c>
      <c r="AC95" s="301"/>
      <c r="AD95" s="301">
        <v>0.010940653408255752</v>
      </c>
    </row>
    <row r="96" spans="1:30" ht="12.75">
      <c r="A96" s="337" t="s">
        <v>157</v>
      </c>
      <c r="B96" s="301">
        <v>3.614316320759049</v>
      </c>
      <c r="C96" s="301"/>
      <c r="D96" s="301"/>
      <c r="E96" s="301"/>
      <c r="F96" s="301"/>
      <c r="G96" s="301"/>
      <c r="H96" s="301"/>
      <c r="I96" s="301"/>
      <c r="J96" s="301"/>
      <c r="K96" s="301"/>
      <c r="L96" s="301"/>
      <c r="M96" s="301"/>
      <c r="N96" s="301"/>
      <c r="O96" s="301"/>
      <c r="P96" s="301">
        <v>57.13599999999999</v>
      </c>
      <c r="Q96" s="301"/>
      <c r="R96" s="301">
        <v>1.549240547730159</v>
      </c>
      <c r="S96" s="301"/>
      <c r="T96" s="301">
        <v>0.06791191442104806</v>
      </c>
      <c r="U96" s="301"/>
      <c r="V96" s="301">
        <v>1.9252688178795019</v>
      </c>
      <c r="W96" s="301"/>
      <c r="X96" s="301"/>
      <c r="Y96" s="301"/>
      <c r="Z96" s="301"/>
      <c r="AA96" s="301"/>
      <c r="AB96" s="301">
        <v>0.38505376357590043</v>
      </c>
      <c r="AC96" s="301"/>
      <c r="AD96" s="301">
        <v>0.014261250502811126</v>
      </c>
    </row>
    <row r="97" spans="1:30" ht="12.75">
      <c r="A97" s="337" t="s">
        <v>158</v>
      </c>
      <c r="B97" s="301">
        <v>1.9954674794784129</v>
      </c>
      <c r="C97" s="301"/>
      <c r="D97" s="301"/>
      <c r="E97" s="301"/>
      <c r="F97" s="301"/>
      <c r="G97" s="301"/>
      <c r="H97" s="301"/>
      <c r="I97" s="301"/>
      <c r="J97" s="301"/>
      <c r="K97" s="301"/>
      <c r="L97" s="301"/>
      <c r="M97" s="301"/>
      <c r="N97" s="301"/>
      <c r="O97" s="301"/>
      <c r="P97" s="301">
        <v>39.4574576</v>
      </c>
      <c r="Q97" s="301"/>
      <c r="R97" s="301">
        <v>1.2081067448414293</v>
      </c>
      <c r="S97" s="301"/>
      <c r="T97" s="301">
        <v>0.052958103883459916</v>
      </c>
      <c r="U97" s="301"/>
      <c r="V97" s="301">
        <v>1.5013357660441469</v>
      </c>
      <c r="W97" s="301"/>
      <c r="X97" s="301"/>
      <c r="Y97" s="301"/>
      <c r="Z97" s="301"/>
      <c r="AA97" s="301"/>
      <c r="AB97" s="301">
        <v>0.42259821562724137</v>
      </c>
      <c r="AC97" s="301"/>
      <c r="AD97" s="301">
        <v>0.011121005674401089</v>
      </c>
    </row>
    <row r="98" spans="1:30" ht="12.75">
      <c r="A98" s="351" t="s">
        <v>626</v>
      </c>
      <c r="B98" s="421">
        <f>SUM(B95:B97)</f>
        <v>7.586435862828175</v>
      </c>
      <c r="C98" s="421"/>
      <c r="D98" s="421"/>
      <c r="E98" s="421"/>
      <c r="F98" s="421"/>
      <c r="G98" s="421"/>
      <c r="H98" s="421"/>
      <c r="I98" s="421"/>
      <c r="J98" s="421"/>
      <c r="K98" s="421"/>
      <c r="L98" s="421"/>
      <c r="M98" s="421"/>
      <c r="N98" s="421"/>
      <c r="O98" s="421"/>
      <c r="P98" s="422">
        <f>1-(R98/B98)</f>
        <v>0.508891048213721</v>
      </c>
      <c r="Q98" s="421"/>
      <c r="R98" s="421">
        <f aca="true" t="shared" si="5" ref="R98:AD98">SUM(R95:R97)</f>
        <v>3.7257665643873796</v>
      </c>
      <c r="S98" s="421">
        <f t="shared" si="5"/>
        <v>0</v>
      </c>
      <c r="T98" s="421">
        <f t="shared" si="5"/>
        <v>0.1633212740553372</v>
      </c>
      <c r="U98" s="421">
        <f t="shared" si="5"/>
        <v>0</v>
      </c>
      <c r="V98" s="421">
        <f t="shared" si="5"/>
        <v>4.630076458831781</v>
      </c>
      <c r="W98" s="421">
        <f t="shared" si="5"/>
        <v>0</v>
      </c>
      <c r="X98" s="421">
        <f t="shared" si="5"/>
        <v>0</v>
      </c>
      <c r="Y98" s="421">
        <f t="shared" si="5"/>
        <v>0</v>
      </c>
      <c r="Z98" s="421">
        <f t="shared" si="5"/>
        <v>0</v>
      </c>
      <c r="AA98" s="421">
        <f t="shared" si="5"/>
        <v>0</v>
      </c>
      <c r="AB98" s="421">
        <f t="shared" si="5"/>
        <v>1.1796341950838374</v>
      </c>
      <c r="AC98" s="421">
        <f t="shared" si="5"/>
        <v>0</v>
      </c>
      <c r="AD98" s="421">
        <f t="shared" si="5"/>
        <v>0.036322909585467966</v>
      </c>
    </row>
    <row r="99" spans="1:30" ht="12.75">
      <c r="A99" s="337"/>
      <c r="B99" s="301"/>
      <c r="C99" s="301"/>
      <c r="D99" s="301"/>
      <c r="E99" s="301"/>
      <c r="F99" s="301"/>
      <c r="G99" s="301"/>
      <c r="H99" s="301"/>
      <c r="I99" s="301"/>
      <c r="J99" s="301"/>
      <c r="K99" s="301"/>
      <c r="L99" s="301"/>
      <c r="M99" s="301"/>
      <c r="N99" s="301"/>
      <c r="O99" s="301"/>
      <c r="P99" s="48"/>
      <c r="Q99" s="301"/>
      <c r="R99" s="301"/>
      <c r="S99" s="301"/>
      <c r="T99" s="301"/>
      <c r="U99" s="301"/>
      <c r="V99" s="301"/>
      <c r="W99" s="301"/>
      <c r="X99" s="301"/>
      <c r="Y99" s="301"/>
      <c r="Z99" s="301"/>
      <c r="AA99" s="301"/>
      <c r="AB99" s="301"/>
      <c r="AC99" s="301"/>
      <c r="AD99" s="301"/>
    </row>
    <row r="100" spans="1:30" ht="12.75">
      <c r="A100" s="337" t="s">
        <v>627</v>
      </c>
      <c r="B100" s="301">
        <v>17.50344752819374</v>
      </c>
      <c r="C100" s="301"/>
      <c r="D100" s="301"/>
      <c r="E100" s="301"/>
      <c r="F100" s="301"/>
      <c r="G100" s="301"/>
      <c r="H100" s="301"/>
      <c r="I100" s="301"/>
      <c r="J100" s="301"/>
      <c r="K100" s="301"/>
      <c r="L100" s="301"/>
      <c r="M100" s="301"/>
      <c r="N100" s="301"/>
      <c r="O100" s="301"/>
      <c r="P100" s="48">
        <f>0.01*49.0692219130045</f>
        <v>0.49069221913004496</v>
      </c>
      <c r="Q100" s="301"/>
      <c r="R100" s="301">
        <v>8.914642018158048</v>
      </c>
      <c r="S100" s="301"/>
      <c r="T100" s="301">
        <v>0.3907788281932295</v>
      </c>
      <c r="U100" s="301"/>
      <c r="V100" s="301">
        <v>11.07838438986396</v>
      </c>
      <c r="W100" s="301"/>
      <c r="X100" s="301"/>
      <c r="Y100" s="301"/>
      <c r="Z100" s="301"/>
      <c r="AA100" s="301"/>
      <c r="AB100" s="301">
        <v>1.4099761950735947</v>
      </c>
      <c r="AC100" s="301"/>
      <c r="AD100" s="301">
        <v>0.10071258536239965</v>
      </c>
    </row>
    <row r="101" spans="1:30" ht="12.75">
      <c r="A101" s="337"/>
      <c r="B101" s="301"/>
      <c r="C101" s="301"/>
      <c r="D101" s="301"/>
      <c r="E101" s="301"/>
      <c r="F101" s="301"/>
      <c r="G101" s="301"/>
      <c r="H101" s="301"/>
      <c r="I101" s="301"/>
      <c r="J101" s="301"/>
      <c r="K101" s="301"/>
      <c r="L101" s="301"/>
      <c r="M101" s="301"/>
      <c r="N101" s="301"/>
      <c r="O101" s="301"/>
      <c r="P101" s="48"/>
      <c r="Q101" s="301"/>
      <c r="R101" s="301"/>
      <c r="S101" s="301"/>
      <c r="T101" s="301"/>
      <c r="U101" s="301"/>
      <c r="V101" s="301"/>
      <c r="W101" s="301"/>
      <c r="X101" s="301"/>
      <c r="Y101" s="301"/>
      <c r="Z101" s="301"/>
      <c r="AA101" s="301"/>
      <c r="AB101" s="301"/>
      <c r="AC101" s="301"/>
      <c r="AD101" s="301"/>
    </row>
    <row r="102" spans="1:30" ht="12.75">
      <c r="A102" s="337" t="s">
        <v>244</v>
      </c>
      <c r="B102" s="301">
        <v>2.592862188559457</v>
      </c>
      <c r="C102" s="301"/>
      <c r="D102" s="301"/>
      <c r="E102" s="301"/>
      <c r="F102" s="301"/>
      <c r="G102" s="301"/>
      <c r="H102" s="301"/>
      <c r="I102" s="301"/>
      <c r="J102" s="301"/>
      <c r="K102" s="301"/>
      <c r="L102" s="301"/>
      <c r="M102" s="301"/>
      <c r="N102" s="301"/>
      <c r="O102" s="301"/>
      <c r="P102" s="48">
        <f>0.01*67.0054090855928</f>
        <v>0.670054090855928</v>
      </c>
      <c r="Q102" s="301"/>
      <c r="R102" s="301">
        <v>0.8555042720895372</v>
      </c>
      <c r="S102" s="301"/>
      <c r="T102" s="301">
        <v>0.03750155713269204</v>
      </c>
      <c r="U102" s="301"/>
      <c r="V102" s="301">
        <v>1.063150393933253</v>
      </c>
      <c r="W102" s="301"/>
      <c r="X102" s="301"/>
      <c r="Y102" s="301"/>
      <c r="Z102" s="301"/>
      <c r="AA102" s="301"/>
      <c r="AB102" s="301">
        <v>1.5869083085915467</v>
      </c>
      <c r="AC102" s="301"/>
      <c r="AD102" s="301">
        <v>0.007817282308332743</v>
      </c>
    </row>
    <row r="103" spans="1:30" ht="12.75">
      <c r="A103" s="337"/>
      <c r="B103" s="301"/>
      <c r="C103" s="301"/>
      <c r="D103" s="301"/>
      <c r="E103" s="301"/>
      <c r="F103" s="301"/>
      <c r="G103" s="301"/>
      <c r="H103" s="301"/>
      <c r="I103" s="301"/>
      <c r="J103" s="301"/>
      <c r="K103" s="301"/>
      <c r="L103" s="301"/>
      <c r="M103" s="301"/>
      <c r="N103" s="301"/>
      <c r="O103" s="301"/>
      <c r="P103" s="48"/>
      <c r="Q103" s="301"/>
      <c r="R103" s="301"/>
      <c r="S103" s="301"/>
      <c r="T103" s="301"/>
      <c r="U103" s="301"/>
      <c r="V103" s="301"/>
      <c r="W103" s="301"/>
      <c r="X103" s="301"/>
      <c r="Y103" s="301"/>
      <c r="Z103" s="301"/>
      <c r="AA103" s="301"/>
      <c r="AB103" s="301"/>
      <c r="AC103" s="301"/>
      <c r="AD103" s="301"/>
    </row>
    <row r="104" spans="1:30" ht="12.75">
      <c r="A104" s="337" t="s">
        <v>628</v>
      </c>
      <c r="B104" s="301">
        <v>9.628952210545183</v>
      </c>
      <c r="C104" s="301"/>
      <c r="D104" s="301"/>
      <c r="E104" s="301"/>
      <c r="F104" s="301"/>
      <c r="G104" s="301"/>
      <c r="H104" s="301"/>
      <c r="I104" s="301"/>
      <c r="J104" s="301"/>
      <c r="K104" s="301"/>
      <c r="L104" s="301"/>
      <c r="M104" s="301"/>
      <c r="N104" s="301"/>
      <c r="O104" s="301"/>
      <c r="P104" s="48">
        <f>0.01*63.5136304916181</f>
        <v>0.635136304916181</v>
      </c>
      <c r="Q104" s="301"/>
      <c r="R104" s="301">
        <v>3.5132550833250256</v>
      </c>
      <c r="S104" s="301"/>
      <c r="T104" s="301">
        <v>0.15400570228274085</v>
      </c>
      <c r="U104" s="301"/>
      <c r="V104" s="301">
        <v>4.365984656864562</v>
      </c>
      <c r="W104" s="301"/>
      <c r="X104" s="301"/>
      <c r="Y104" s="301"/>
      <c r="Z104" s="301"/>
      <c r="AA104" s="301"/>
      <c r="AB104" s="301">
        <v>0.8790573134626636</v>
      </c>
      <c r="AC104" s="301"/>
      <c r="AD104" s="301">
        <v>0.029301910448755446</v>
      </c>
    </row>
    <row r="105" spans="1:30" ht="12.75">
      <c r="A105" s="337"/>
      <c r="B105" s="301"/>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row>
    <row r="106" spans="1:30" ht="12.75">
      <c r="A106" s="337" t="s">
        <v>629</v>
      </c>
      <c r="B106" s="301">
        <v>2.475121813485063</v>
      </c>
      <c r="C106" s="301"/>
      <c r="D106" s="301"/>
      <c r="E106" s="301"/>
      <c r="F106" s="301"/>
      <c r="G106" s="301"/>
      <c r="H106" s="301"/>
      <c r="I106" s="301"/>
      <c r="J106" s="301"/>
      <c r="K106" s="301"/>
      <c r="L106" s="301"/>
      <c r="M106" s="301"/>
      <c r="N106" s="301"/>
      <c r="O106" s="301"/>
      <c r="P106" s="301">
        <v>37.63257943727293</v>
      </c>
      <c r="Q106" s="301"/>
      <c r="R106" s="301">
        <v>1.543669630856026</v>
      </c>
      <c r="S106" s="301"/>
      <c r="T106" s="301">
        <v>0.06766770984574362</v>
      </c>
      <c r="U106" s="301"/>
      <c r="V106" s="301">
        <v>1.9183457402719086</v>
      </c>
      <c r="W106" s="301"/>
      <c r="X106" s="301"/>
      <c r="Y106" s="301"/>
      <c r="Z106" s="301"/>
      <c r="AA106" s="301"/>
      <c r="AB106" s="301">
        <v>0.41963813068447997</v>
      </c>
      <c r="AC106" s="301"/>
      <c r="AD106" s="301">
        <v>0.01998276812783238</v>
      </c>
    </row>
    <row r="107" spans="1:30" ht="12.75">
      <c r="A107" s="337" t="s">
        <v>157</v>
      </c>
      <c r="B107" s="301">
        <v>1.2769374507040046</v>
      </c>
      <c r="C107" s="301"/>
      <c r="D107" s="301"/>
      <c r="E107" s="301"/>
      <c r="F107" s="301"/>
      <c r="G107" s="301"/>
      <c r="H107" s="301"/>
      <c r="I107" s="301"/>
      <c r="J107" s="301"/>
      <c r="K107" s="301"/>
      <c r="L107" s="301"/>
      <c r="M107" s="301"/>
      <c r="N107" s="301"/>
      <c r="O107" s="301"/>
      <c r="P107" s="301">
        <v>44.399</v>
      </c>
      <c r="Q107" s="301"/>
      <c r="R107" s="301">
        <v>0.7099899919659336</v>
      </c>
      <c r="S107" s="301"/>
      <c r="T107" s="301">
        <v>0.031122848962890238</v>
      </c>
      <c r="U107" s="301"/>
      <c r="V107" s="301">
        <v>0.8823172066734568</v>
      </c>
      <c r="W107" s="301"/>
      <c r="X107" s="301"/>
      <c r="Y107" s="301"/>
      <c r="Z107" s="301"/>
      <c r="AA107" s="301"/>
      <c r="AB107" s="301">
        <v>0.2205793016683642</v>
      </c>
      <c r="AC107" s="301"/>
      <c r="AD107" s="301">
        <v>0.005655879529958056</v>
      </c>
    </row>
    <row r="108" spans="1:30" ht="12.75">
      <c r="A108" s="351" t="s">
        <v>630</v>
      </c>
      <c r="B108" s="421">
        <f>SUM(B106:B107)</f>
        <v>3.7520592641890675</v>
      </c>
      <c r="C108" s="421"/>
      <c r="D108" s="421"/>
      <c r="E108" s="421"/>
      <c r="F108" s="421"/>
      <c r="G108" s="421"/>
      <c r="H108" s="421"/>
      <c r="I108" s="421"/>
      <c r="J108" s="421"/>
      <c r="K108" s="421"/>
      <c r="L108" s="421"/>
      <c r="M108" s="421"/>
      <c r="N108" s="421"/>
      <c r="O108" s="421"/>
      <c r="P108" s="422">
        <f>1-(R108/B108)</f>
        <v>0.39935393762789007</v>
      </c>
      <c r="Q108" s="421"/>
      <c r="R108" s="421">
        <f>SUM(R106:R107)</f>
        <v>2.2536596228219596</v>
      </c>
      <c r="S108" s="421"/>
      <c r="T108" s="421">
        <f>SUM(T106:T107)</f>
        <v>0.09879055880863385</v>
      </c>
      <c r="U108" s="421"/>
      <c r="V108" s="421">
        <f>SUM(V106:V107)</f>
        <v>2.8006629469453657</v>
      </c>
      <c r="W108" s="421"/>
      <c r="X108" s="421"/>
      <c r="Y108" s="421"/>
      <c r="Z108" s="421"/>
      <c r="AA108" s="421"/>
      <c r="AB108" s="421">
        <f>SUM(AB106:AB107)</f>
        <v>0.6402174323528442</v>
      </c>
      <c r="AC108" s="421"/>
      <c r="AD108" s="421">
        <f>SUM(AD106:AD107)</f>
        <v>0.025638647657790437</v>
      </c>
    </row>
    <row r="109" spans="1:30" ht="12.75">
      <c r="A109" s="337"/>
      <c r="B109" s="301"/>
      <c r="C109" s="301"/>
      <c r="D109" s="301"/>
      <c r="E109" s="301"/>
      <c r="F109" s="301"/>
      <c r="G109" s="301"/>
      <c r="H109" s="301"/>
      <c r="I109" s="301"/>
      <c r="J109" s="301"/>
      <c r="K109" s="301"/>
      <c r="L109" s="301"/>
      <c r="M109" s="301"/>
      <c r="N109" s="301"/>
      <c r="O109" s="301"/>
      <c r="P109" s="301"/>
      <c r="Q109" s="301"/>
      <c r="R109" s="301"/>
      <c r="S109" s="301"/>
      <c r="T109" s="301"/>
      <c r="U109" s="301"/>
      <c r="V109" s="301"/>
      <c r="W109" s="301"/>
      <c r="X109" s="301"/>
      <c r="Y109" s="301"/>
      <c r="Z109" s="301"/>
      <c r="AA109" s="301"/>
      <c r="AB109" s="301"/>
      <c r="AC109" s="301"/>
      <c r="AD109" s="301"/>
    </row>
    <row r="110" spans="1:30" ht="12.75">
      <c r="A110" s="337" t="s">
        <v>631</v>
      </c>
      <c r="B110" s="301">
        <v>0.4292008761160176</v>
      </c>
      <c r="C110" s="301"/>
      <c r="D110" s="301"/>
      <c r="E110" s="301"/>
      <c r="F110" s="301"/>
      <c r="G110" s="301"/>
      <c r="H110" s="301"/>
      <c r="I110" s="301"/>
      <c r="J110" s="301"/>
      <c r="K110" s="301"/>
      <c r="L110" s="301"/>
      <c r="M110" s="301"/>
      <c r="N110" s="301"/>
      <c r="O110" s="301"/>
      <c r="P110" s="48">
        <f>0.01*56.1020000081776</f>
        <v>0.561020000081776</v>
      </c>
      <c r="Q110" s="301"/>
      <c r="R110" s="301">
        <v>0.18841060056231101</v>
      </c>
      <c r="S110" s="301"/>
      <c r="T110" s="301">
        <v>0.0082590948191698</v>
      </c>
      <c r="U110" s="301"/>
      <c r="V110" s="301">
        <v>0.2341412085760542</v>
      </c>
      <c r="W110" s="301"/>
      <c r="X110" s="301"/>
      <c r="Y110" s="301"/>
      <c r="Z110" s="301"/>
      <c r="AA110" s="301"/>
      <c r="AB110" s="301">
        <v>0.0725837746585768</v>
      </c>
      <c r="AC110" s="301"/>
      <c r="AD110" s="301">
        <v>0.002341412085760542</v>
      </c>
    </row>
    <row r="111" spans="1:30" ht="12.75">
      <c r="A111" s="337"/>
      <c r="B111" s="301"/>
      <c r="C111" s="301"/>
      <c r="D111" s="301"/>
      <c r="E111" s="301"/>
      <c r="F111" s="301"/>
      <c r="G111" s="301"/>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301"/>
      <c r="AD111" s="301"/>
    </row>
    <row r="112" spans="1:30" ht="12.75">
      <c r="A112" s="337" t="s">
        <v>632</v>
      </c>
      <c r="B112" s="301">
        <v>20.239345443785442</v>
      </c>
      <c r="C112" s="301"/>
      <c r="D112" s="301"/>
      <c r="E112" s="301"/>
      <c r="F112" s="301"/>
      <c r="G112" s="301"/>
      <c r="H112" s="301"/>
      <c r="I112" s="301"/>
      <c r="J112" s="301"/>
      <c r="K112" s="301"/>
      <c r="L112" s="301"/>
      <c r="M112" s="301"/>
      <c r="N112" s="301"/>
      <c r="O112" s="301"/>
      <c r="P112" s="301">
        <v>60.13054583105986</v>
      </c>
      <c r="Q112" s="301"/>
      <c r="R112" s="301">
        <v>8.06931655580351</v>
      </c>
      <c r="S112" s="301"/>
      <c r="T112" s="301">
        <v>0.3537234654598799</v>
      </c>
      <c r="U112" s="301"/>
      <c r="V112" s="301">
        <v>10.027883384054865</v>
      </c>
      <c r="W112" s="301"/>
      <c r="X112" s="301"/>
      <c r="Y112" s="301"/>
      <c r="Z112" s="301"/>
      <c r="AA112" s="301"/>
      <c r="AB112" s="301">
        <v>4.1991761670729755</v>
      </c>
      <c r="AC112" s="301"/>
      <c r="AD112" s="301">
        <v>0.06267427115034292</v>
      </c>
    </row>
    <row r="113" spans="1:30" ht="12.75">
      <c r="A113" s="337" t="s">
        <v>609</v>
      </c>
      <c r="B113" s="301">
        <v>1.5482275422383949</v>
      </c>
      <c r="C113" s="301"/>
      <c r="D113" s="301"/>
      <c r="E113" s="301"/>
      <c r="F113" s="301"/>
      <c r="G113" s="301"/>
      <c r="H113" s="301"/>
      <c r="I113" s="301"/>
      <c r="J113" s="301"/>
      <c r="K113" s="301"/>
      <c r="L113" s="301"/>
      <c r="M113" s="301"/>
      <c r="N113" s="301"/>
      <c r="O113" s="301"/>
      <c r="P113" s="301">
        <v>90.0736</v>
      </c>
      <c r="Q113" s="301"/>
      <c r="R113" s="301">
        <v>0.153683258752752</v>
      </c>
      <c r="S113" s="301"/>
      <c r="T113" s="301">
        <v>0.00673680038368228</v>
      </c>
      <c r="U113" s="301"/>
      <c r="V113" s="301">
        <v>0.1909849224772008</v>
      </c>
      <c r="W113" s="301"/>
      <c r="X113" s="301"/>
      <c r="Y113" s="301"/>
      <c r="Z113" s="301"/>
      <c r="AA113" s="301"/>
      <c r="AB113" s="301">
        <v>0.6684472286702029</v>
      </c>
      <c r="AC113" s="301"/>
      <c r="AD113" s="301">
        <v>0.006820890088471457</v>
      </c>
    </row>
    <row r="114" spans="1:30" ht="12.75">
      <c r="A114" s="351" t="s">
        <v>633</v>
      </c>
      <c r="B114" s="421">
        <f>SUM(B112:B113)</f>
        <v>21.787572986023836</v>
      </c>
      <c r="C114" s="421"/>
      <c r="D114" s="421"/>
      <c r="E114" s="421"/>
      <c r="F114" s="421"/>
      <c r="G114" s="421"/>
      <c r="H114" s="421"/>
      <c r="I114" s="421"/>
      <c r="J114" s="421"/>
      <c r="K114" s="421"/>
      <c r="L114" s="421"/>
      <c r="M114" s="421"/>
      <c r="N114" s="421"/>
      <c r="O114" s="421"/>
      <c r="P114" s="422">
        <f>1-(R114/B114)</f>
        <v>0.6225830284157348</v>
      </c>
      <c r="Q114" s="421"/>
      <c r="R114" s="421">
        <f>SUM(R112:R113)</f>
        <v>8.222999814556262</v>
      </c>
      <c r="S114" s="421"/>
      <c r="T114" s="421">
        <f>SUM(T112:T113)</f>
        <v>0.3604602658435622</v>
      </c>
      <c r="U114" s="421"/>
      <c r="V114" s="421">
        <f>SUM(V112:V113)</f>
        <v>10.218868306532066</v>
      </c>
      <c r="W114" s="421"/>
      <c r="X114" s="421"/>
      <c r="Y114" s="421"/>
      <c r="Z114" s="421"/>
      <c r="AA114" s="421"/>
      <c r="AB114" s="421">
        <f>SUM(AB112:AB113)</f>
        <v>4.867623395743179</v>
      </c>
      <c r="AC114" s="421"/>
      <c r="AD114" s="421">
        <f>SUM(AD112:AD113)</f>
        <v>0.06949516123881438</v>
      </c>
    </row>
    <row r="115" spans="1:30" ht="12.75">
      <c r="A115" s="337"/>
      <c r="B115" s="301"/>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01"/>
      <c r="AD115" s="301"/>
    </row>
    <row r="116" spans="1:30" ht="12.75">
      <c r="A116" s="337" t="s">
        <v>634</v>
      </c>
      <c r="B116" s="301">
        <v>0.5246440555339997</v>
      </c>
      <c r="C116" s="301"/>
      <c r="D116" s="301"/>
      <c r="E116" s="301"/>
      <c r="F116" s="301"/>
      <c r="G116" s="301"/>
      <c r="H116" s="301"/>
      <c r="I116" s="301"/>
      <c r="J116" s="301"/>
      <c r="K116" s="301"/>
      <c r="L116" s="301"/>
      <c r="M116" s="301"/>
      <c r="N116" s="301"/>
      <c r="O116" s="301"/>
      <c r="P116" s="48">
        <f>0.01*67.0579918536115</f>
        <v>0.670579918536115</v>
      </c>
      <c r="Q116" s="301"/>
      <c r="R116" s="301">
        <v>0.17282828751355306</v>
      </c>
      <c r="S116" s="301"/>
      <c r="T116" s="301">
        <v>0.007576034521142051</v>
      </c>
      <c r="U116" s="301"/>
      <c r="V116" s="301">
        <v>0.2147767906571166</v>
      </c>
      <c r="W116" s="301"/>
      <c r="X116" s="301"/>
      <c r="Y116" s="301"/>
      <c r="Z116" s="301"/>
      <c r="AA116" s="301"/>
      <c r="AB116" s="301">
        <v>0.03517895709038978</v>
      </c>
      <c r="AC116" s="301"/>
      <c r="AD116" s="301">
        <v>0.0018515240573889363</v>
      </c>
    </row>
    <row r="117" spans="1:34" ht="12.75">
      <c r="A117" s="337"/>
      <c r="B117" s="301"/>
      <c r="C117" s="301"/>
      <c r="D117" s="301"/>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c r="AH117" s="13" t="s">
        <v>808</v>
      </c>
    </row>
    <row r="118" spans="1:34" ht="12.75">
      <c r="A118" s="354" t="s">
        <v>635</v>
      </c>
      <c r="B118" s="436">
        <f>SUM(B120:B127)</f>
        <v>7.452591307595391</v>
      </c>
      <c r="C118" s="301"/>
      <c r="D118" s="301"/>
      <c r="E118" s="301"/>
      <c r="F118" s="301"/>
      <c r="G118" s="301"/>
      <c r="H118" s="301"/>
      <c r="I118" s="301"/>
      <c r="J118" s="301"/>
      <c r="K118" s="301"/>
      <c r="L118" s="301"/>
      <c r="M118" s="301"/>
      <c r="N118" s="301"/>
      <c r="O118" s="301"/>
      <c r="P118" s="437">
        <f>1-(R118/B118)</f>
        <v>0.15400000000000025</v>
      </c>
      <c r="Q118" s="436"/>
      <c r="R118" s="436">
        <f>SUM(R120:R127)</f>
        <v>6.304892246225699</v>
      </c>
      <c r="S118" s="436"/>
      <c r="T118" s="436">
        <f>SUM(T120:T127)</f>
        <v>0.2763788381907156</v>
      </c>
      <c r="U118" s="436"/>
      <c r="V118" s="436">
        <f>SUM(V120:V127)</f>
        <v>7.8352018732876925</v>
      </c>
      <c r="W118" s="436"/>
      <c r="X118" s="436"/>
      <c r="Y118" s="436"/>
      <c r="Z118" s="436"/>
      <c r="AA118" s="436"/>
      <c r="AB118" s="436">
        <f>SUM(AB120:AB127)</f>
        <v>10.496572153130046</v>
      </c>
      <c r="AC118" s="436"/>
      <c r="AD118" s="436">
        <f>SUM(AD120:AD127)</f>
        <v>0.10415181025887801</v>
      </c>
      <c r="AE118" s="438"/>
      <c r="AF118" s="436">
        <f>B118/AD118</f>
        <v>71.55508184707836</v>
      </c>
      <c r="AG118" s="439">
        <f>AD118/B118</f>
        <v>0.013975247797733192</v>
      </c>
      <c r="AH118">
        <f>AB118/T118</f>
        <v>37.97892856719685</v>
      </c>
    </row>
    <row r="119" spans="1:34" s="33" customFormat="1" ht="12.75">
      <c r="A119" s="432"/>
      <c r="B119" s="440"/>
      <c r="C119" s="440"/>
      <c r="D119" s="440"/>
      <c r="E119" s="440"/>
      <c r="F119" s="440"/>
      <c r="G119" s="440"/>
      <c r="H119" s="440"/>
      <c r="I119" s="440"/>
      <c r="J119" s="440"/>
      <c r="K119" s="440"/>
      <c r="L119" s="440"/>
      <c r="M119" s="440"/>
      <c r="N119" s="440"/>
      <c r="O119" s="440"/>
      <c r="P119" s="441"/>
      <c r="Q119" s="246"/>
      <c r="R119" s="246"/>
      <c r="S119" s="246"/>
      <c r="T119" s="246"/>
      <c r="U119" s="246"/>
      <c r="V119" s="246"/>
      <c r="W119" s="246"/>
      <c r="X119" s="246"/>
      <c r="Y119" s="246"/>
      <c r="Z119" s="246"/>
      <c r="AA119" s="246"/>
      <c r="AB119" s="246"/>
      <c r="AC119" s="246"/>
      <c r="AD119" s="246"/>
      <c r="AE119" s="6"/>
      <c r="AF119" s="6"/>
      <c r="AG119" s="6"/>
      <c r="AH119" s="46"/>
    </row>
    <row r="120" spans="1:34" ht="12.75">
      <c r="A120" s="337" t="s">
        <v>636</v>
      </c>
      <c r="B120" s="301">
        <v>0.5405313657609925</v>
      </c>
      <c r="C120" s="301"/>
      <c r="D120" s="301"/>
      <c r="E120" s="301"/>
      <c r="F120" s="301"/>
      <c r="G120" s="301"/>
      <c r="H120" s="301"/>
      <c r="I120" s="301"/>
      <c r="J120" s="301"/>
      <c r="K120" s="301"/>
      <c r="L120" s="301"/>
      <c r="M120" s="301"/>
      <c r="N120" s="301"/>
      <c r="O120" s="301"/>
      <c r="P120" s="301">
        <v>15.40000000000001</v>
      </c>
      <c r="Q120" s="301"/>
      <c r="R120" s="301">
        <v>0.45728953543379963</v>
      </c>
      <c r="S120" s="301"/>
      <c r="T120" s="301">
        <v>0.020045568676550118</v>
      </c>
      <c r="U120" s="301"/>
      <c r="V120" s="301">
        <v>0.5682818491958577</v>
      </c>
      <c r="W120" s="301"/>
      <c r="X120" s="301"/>
      <c r="Y120" s="301"/>
      <c r="Z120" s="301"/>
      <c r="AA120" s="301"/>
      <c r="AB120" s="301">
        <v>0.7402702723440197</v>
      </c>
      <c r="AC120" s="301"/>
      <c r="AD120" s="301">
        <v>0.007775948238907769</v>
      </c>
      <c r="AH120" s="301"/>
    </row>
    <row r="121" spans="1:34" ht="12.75">
      <c r="A121" s="337" t="s">
        <v>637</v>
      </c>
      <c r="B121" s="301">
        <v>0.50143551976476</v>
      </c>
      <c r="C121" s="301"/>
      <c r="D121" s="301"/>
      <c r="E121" s="301"/>
      <c r="F121" s="301"/>
      <c r="G121" s="301"/>
      <c r="H121" s="301"/>
      <c r="I121" s="301"/>
      <c r="J121" s="301"/>
      <c r="K121" s="301"/>
      <c r="L121" s="301"/>
      <c r="M121" s="301"/>
      <c r="N121" s="301"/>
      <c r="O121" s="301"/>
      <c r="P121" s="301">
        <v>15.4</v>
      </c>
      <c r="Q121" s="301"/>
      <c r="R121" s="301">
        <v>0.42421444972098693</v>
      </c>
      <c r="S121" s="301"/>
      <c r="T121" s="301">
        <v>0.01859570190557751</v>
      </c>
      <c r="U121" s="301"/>
      <c r="V121" s="301">
        <v>0.5271788511721696</v>
      </c>
      <c r="W121" s="301"/>
      <c r="X121" s="301"/>
      <c r="Y121" s="301"/>
      <c r="Z121" s="301"/>
      <c r="AA121" s="301"/>
      <c r="AB121" s="301">
        <v>0.6719296543753754</v>
      </c>
      <c r="AC121" s="301"/>
      <c r="AD121" s="301">
        <v>0.007148187812503993</v>
      </c>
      <c r="AH121" s="301"/>
    </row>
    <row r="122" spans="1:34" ht="12.75">
      <c r="A122" s="337" t="s">
        <v>638</v>
      </c>
      <c r="B122" s="301">
        <v>0.9740529890881439</v>
      </c>
      <c r="C122" s="301"/>
      <c r="D122" s="301"/>
      <c r="E122" s="301"/>
      <c r="F122" s="301"/>
      <c r="G122" s="301"/>
      <c r="H122" s="301"/>
      <c r="I122" s="301"/>
      <c r="J122" s="301"/>
      <c r="K122" s="301"/>
      <c r="L122" s="301"/>
      <c r="M122" s="301"/>
      <c r="N122" s="301"/>
      <c r="O122" s="301"/>
      <c r="P122" s="301">
        <v>15.400000000000002</v>
      </c>
      <c r="Q122" s="301"/>
      <c r="R122" s="301">
        <v>0.8240488287685697</v>
      </c>
      <c r="S122" s="301"/>
      <c r="T122" s="301">
        <v>0.036122688384375656</v>
      </c>
      <c r="U122" s="301"/>
      <c r="V122" s="301">
        <v>1.0240601543528576</v>
      </c>
      <c r="W122" s="301"/>
      <c r="X122" s="301"/>
      <c r="Y122" s="301"/>
      <c r="Z122" s="301"/>
      <c r="AA122" s="301"/>
      <c r="AB122" s="301">
        <v>1.2008015007893917</v>
      </c>
      <c r="AC122" s="301"/>
      <c r="AD122" s="301">
        <v>0.010396549790384343</v>
      </c>
      <c r="AH122" s="301"/>
    </row>
    <row r="123" spans="1:34" ht="12.75">
      <c r="A123" s="337" t="s">
        <v>639</v>
      </c>
      <c r="B123" s="301">
        <v>0.8793752266933899</v>
      </c>
      <c r="C123" s="301"/>
      <c r="D123" s="301"/>
      <c r="E123" s="301"/>
      <c r="F123" s="301"/>
      <c r="G123" s="301"/>
      <c r="H123" s="301"/>
      <c r="I123" s="301"/>
      <c r="J123" s="301"/>
      <c r="K123" s="301"/>
      <c r="L123" s="301"/>
      <c r="M123" s="301"/>
      <c r="N123" s="301"/>
      <c r="O123" s="301"/>
      <c r="P123" s="301">
        <v>15.40000000000001</v>
      </c>
      <c r="Q123" s="301"/>
      <c r="R123" s="301">
        <v>0.7439514417826079</v>
      </c>
      <c r="S123" s="301"/>
      <c r="T123" s="301">
        <v>0.03261157005074446</v>
      </c>
      <c r="U123" s="301"/>
      <c r="V123" s="301">
        <v>0.9245217051535798</v>
      </c>
      <c r="W123" s="301"/>
      <c r="X123" s="301"/>
      <c r="Y123" s="301"/>
      <c r="Z123" s="301"/>
      <c r="AA123" s="301"/>
      <c r="AB123" s="301">
        <v>1.292355278204925</v>
      </c>
      <c r="AC123" s="301"/>
      <c r="AD123" s="301">
        <v>0.012192030926461556</v>
      </c>
      <c r="AH123" s="301"/>
    </row>
    <row r="124" spans="1:34" ht="12.75">
      <c r="A124" s="337" t="s">
        <v>640</v>
      </c>
      <c r="B124" s="301">
        <v>2.8621748333117103</v>
      </c>
      <c r="C124" s="301"/>
      <c r="D124" s="301"/>
      <c r="E124" s="301"/>
      <c r="F124" s="301"/>
      <c r="G124" s="301"/>
      <c r="H124" s="301"/>
      <c r="I124" s="301"/>
      <c r="J124" s="301"/>
      <c r="K124" s="301"/>
      <c r="L124" s="301"/>
      <c r="M124" s="301"/>
      <c r="N124" s="301"/>
      <c r="O124" s="301"/>
      <c r="P124" s="301">
        <v>15.400000000000006</v>
      </c>
      <c r="Q124" s="301"/>
      <c r="R124" s="301">
        <v>2.421399908981707</v>
      </c>
      <c r="S124" s="301"/>
      <c r="T124" s="301">
        <v>0.10614355765399264</v>
      </c>
      <c r="U124" s="301"/>
      <c r="V124" s="301">
        <v>3.0091167877118634</v>
      </c>
      <c r="W124" s="301"/>
      <c r="X124" s="301"/>
      <c r="Y124" s="301"/>
      <c r="Z124" s="301"/>
      <c r="AA124" s="301"/>
      <c r="AB124" s="301">
        <v>4.307788243461195</v>
      </c>
      <c r="AC124" s="301"/>
      <c r="AD124" s="301">
        <v>0.04223321807314897</v>
      </c>
      <c r="AH124" s="301"/>
    </row>
    <row r="125" spans="1:34" ht="12.75">
      <c r="A125" s="337" t="s">
        <v>641</v>
      </c>
      <c r="B125" s="301">
        <v>0.22584582125798797</v>
      </c>
      <c r="C125" s="301"/>
      <c r="D125" s="301"/>
      <c r="E125" s="301"/>
      <c r="F125" s="301"/>
      <c r="G125" s="301"/>
      <c r="H125" s="301"/>
      <c r="I125" s="301"/>
      <c r="J125" s="301"/>
      <c r="K125" s="301"/>
      <c r="L125" s="301"/>
      <c r="M125" s="301"/>
      <c r="N125" s="301"/>
      <c r="O125" s="301"/>
      <c r="P125" s="301">
        <v>15.400000000000002</v>
      </c>
      <c r="Q125" s="301"/>
      <c r="R125" s="301">
        <v>0.19106556478425782</v>
      </c>
      <c r="S125" s="301"/>
      <c r="T125" s="301">
        <v>0.008375476812460616</v>
      </c>
      <c r="U125" s="301"/>
      <c r="V125" s="301">
        <v>0.23744057989485223</v>
      </c>
      <c r="W125" s="301"/>
      <c r="X125" s="301"/>
      <c r="Y125" s="301"/>
      <c r="Z125" s="301"/>
      <c r="AA125" s="301"/>
      <c r="AB125" s="301">
        <v>0.28009939594375793</v>
      </c>
      <c r="AC125" s="301"/>
      <c r="AD125" s="301">
        <v>0.003219533286709861</v>
      </c>
      <c r="AH125" s="301"/>
    </row>
    <row r="126" spans="1:34" ht="12.75">
      <c r="A126" s="355" t="s">
        <v>642</v>
      </c>
      <c r="B126" s="301">
        <v>0.1118359057102252</v>
      </c>
      <c r="C126" s="301"/>
      <c r="D126" s="301"/>
      <c r="E126" s="301"/>
      <c r="F126" s="301"/>
      <c r="G126" s="301"/>
      <c r="H126" s="301"/>
      <c r="I126" s="301"/>
      <c r="J126" s="301"/>
      <c r="K126" s="301"/>
      <c r="L126" s="301"/>
      <c r="M126" s="301"/>
      <c r="N126" s="301"/>
      <c r="O126" s="301"/>
      <c r="P126" s="301">
        <v>15.400000000000002</v>
      </c>
      <c r="Q126" s="301"/>
      <c r="R126" s="301">
        <v>0.0946131762308505</v>
      </c>
      <c r="S126" s="301"/>
      <c r="T126" s="301">
        <v>0.004147426903270159</v>
      </c>
      <c r="U126" s="301"/>
      <c r="V126" s="301">
        <v>0.11757747899425738</v>
      </c>
      <c r="W126" s="301"/>
      <c r="X126" s="301"/>
      <c r="Y126" s="301"/>
      <c r="Z126" s="301"/>
      <c r="AA126" s="301"/>
      <c r="AB126" s="301">
        <v>0.14441960571086251</v>
      </c>
      <c r="AC126" s="301"/>
      <c r="AD126" s="301">
        <v>0.0016599954679409484</v>
      </c>
      <c r="AH126" s="301"/>
    </row>
    <row r="127" spans="1:34" ht="12.75">
      <c r="A127" s="355" t="s">
        <v>643</v>
      </c>
      <c r="B127" s="301">
        <v>1.3573396460081804</v>
      </c>
      <c r="C127" s="301"/>
      <c r="D127" s="301"/>
      <c r="E127" s="301"/>
      <c r="F127" s="301"/>
      <c r="G127" s="301"/>
      <c r="H127" s="301"/>
      <c r="I127" s="301"/>
      <c r="J127" s="301"/>
      <c r="K127" s="301"/>
      <c r="L127" s="301"/>
      <c r="M127" s="301"/>
      <c r="N127" s="301"/>
      <c r="O127" s="301"/>
      <c r="P127" s="301">
        <v>15.400000000000006</v>
      </c>
      <c r="Q127" s="301"/>
      <c r="R127" s="301">
        <v>1.1483093405229206</v>
      </c>
      <c r="S127" s="301"/>
      <c r="T127" s="301">
        <v>0.050336847803744464</v>
      </c>
      <c r="U127" s="301"/>
      <c r="V127" s="301">
        <v>1.4270244668122536</v>
      </c>
      <c r="W127" s="301"/>
      <c r="X127" s="301"/>
      <c r="Y127" s="301"/>
      <c r="Z127" s="301"/>
      <c r="AA127" s="301"/>
      <c r="AB127" s="301">
        <v>1.8589082023005195</v>
      </c>
      <c r="AC127" s="301"/>
      <c r="AD127" s="301">
        <v>0.01952634666282058</v>
      </c>
      <c r="AH127" s="301"/>
    </row>
    <row r="128" spans="1:30" ht="13.5" thickBot="1">
      <c r="A128" s="355"/>
      <c r="B128" s="301"/>
      <c r="C128" s="301"/>
      <c r="D128" s="301"/>
      <c r="E128" s="301"/>
      <c r="F128" s="301"/>
      <c r="G128" s="301"/>
      <c r="H128" s="301"/>
      <c r="I128" s="301"/>
      <c r="J128" s="301"/>
      <c r="K128" s="301"/>
      <c r="L128" s="301"/>
      <c r="M128" s="301"/>
      <c r="N128" s="301"/>
      <c r="O128" s="301"/>
      <c r="P128" s="301"/>
      <c r="Q128" s="301"/>
      <c r="R128" s="301"/>
      <c r="S128" s="301"/>
      <c r="T128" s="301"/>
      <c r="U128" s="301"/>
      <c r="V128" s="301"/>
      <c r="W128" s="301"/>
      <c r="X128" s="301"/>
      <c r="Y128" s="301"/>
      <c r="Z128" s="301"/>
      <c r="AA128" s="301"/>
      <c r="AB128" s="301"/>
      <c r="AC128" s="301"/>
      <c r="AD128" s="301"/>
    </row>
    <row r="129" spans="1:33" ht="13.5" thickBot="1">
      <c r="A129" s="442" t="s">
        <v>134</v>
      </c>
      <c r="B129" s="443">
        <f>B118+B68+B46+B29+B7</f>
        <v>390.7218000153644</v>
      </c>
      <c r="C129" s="443"/>
      <c r="D129" s="443"/>
      <c r="E129" s="443"/>
      <c r="F129" s="443"/>
      <c r="G129" s="443"/>
      <c r="H129" s="443"/>
      <c r="I129" s="443"/>
      <c r="J129" s="443"/>
      <c r="K129" s="443"/>
      <c r="L129" s="443"/>
      <c r="M129" s="443"/>
      <c r="N129" s="443"/>
      <c r="O129" s="443"/>
      <c r="P129" s="444">
        <f>1-(R129/B129)</f>
        <v>0.5852424769398571</v>
      </c>
      <c r="Q129" s="443"/>
      <c r="R129" s="443">
        <f aca="true" t="shared" si="6" ref="R129:AD129">R118+R68+R46+R29+R7</f>
        <v>162.05480597997305</v>
      </c>
      <c r="S129" s="443">
        <f t="shared" si="6"/>
        <v>0</v>
      </c>
      <c r="T129" s="443">
        <f t="shared" si="6"/>
        <v>7.103772316930327</v>
      </c>
      <c r="U129" s="443">
        <f t="shared" si="6"/>
        <v>0</v>
      </c>
      <c r="V129" s="443">
        <f t="shared" si="6"/>
        <v>201.38839329881625</v>
      </c>
      <c r="W129" s="443">
        <f t="shared" si="6"/>
        <v>0</v>
      </c>
      <c r="X129" s="443">
        <f t="shared" si="6"/>
        <v>0</v>
      </c>
      <c r="Y129" s="443">
        <f t="shared" si="6"/>
        <v>0</v>
      </c>
      <c r="Z129" s="443">
        <f t="shared" si="6"/>
        <v>0</v>
      </c>
      <c r="AA129" s="443">
        <f t="shared" si="6"/>
        <v>0</v>
      </c>
      <c r="AB129" s="443">
        <f t="shared" si="6"/>
        <v>126.56486059017605</v>
      </c>
      <c r="AC129" s="443">
        <f t="shared" si="6"/>
        <v>0</v>
      </c>
      <c r="AD129" s="443">
        <f t="shared" si="6"/>
        <v>1.6356912107502117</v>
      </c>
      <c r="AE129" s="445"/>
      <c r="AF129" s="445"/>
      <c r="AG129" s="446"/>
    </row>
    <row r="130" spans="1:30" ht="12.75">
      <c r="A130" s="337"/>
      <c r="B130" s="301"/>
      <c r="C130" s="301"/>
      <c r="D130" s="301"/>
      <c r="E130" s="301"/>
      <c r="F130" s="301"/>
      <c r="G130" s="301"/>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row>
    <row r="131" spans="1:30" ht="12.75">
      <c r="A131" s="337"/>
      <c r="B131" s="301"/>
      <c r="C131" s="301"/>
      <c r="D131" s="301"/>
      <c r="E131" s="301"/>
      <c r="F131" s="301"/>
      <c r="G131" s="301"/>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row>
    <row r="132" spans="1:30" s="326" customFormat="1" ht="12" customHeight="1">
      <c r="A132" s="447" t="s">
        <v>612</v>
      </c>
      <c r="B132" s="338">
        <v>0.6855224074792378</v>
      </c>
      <c r="C132" s="338"/>
      <c r="D132" s="338"/>
      <c r="E132" s="338"/>
      <c r="F132" s="338"/>
      <c r="G132" s="338"/>
      <c r="H132" s="338"/>
      <c r="I132" s="338"/>
      <c r="J132" s="338"/>
      <c r="K132" s="338"/>
      <c r="L132" s="338"/>
      <c r="M132" s="338"/>
      <c r="N132" s="338"/>
      <c r="O132" s="338"/>
      <c r="P132" s="342">
        <f>0.01*83.4899281909568</f>
        <v>0.8348992819095681</v>
      </c>
      <c r="Q132" s="338"/>
      <c r="R132" s="338">
        <v>0.1131802417419037</v>
      </c>
      <c r="S132" s="338"/>
      <c r="T132" s="338">
        <v>0.004961325665398519</v>
      </c>
      <c r="U132" s="338"/>
      <c r="V132" s="338">
        <v>0.14065110195121533</v>
      </c>
      <c r="W132" s="338"/>
      <c r="X132" s="338"/>
      <c r="Y132" s="338"/>
      <c r="Z132" s="338"/>
      <c r="AA132" s="338"/>
      <c r="AB132" s="338">
        <v>0.06598446758205165</v>
      </c>
      <c r="AC132" s="338"/>
      <c r="AD132" s="338">
        <v>0.0008682166787112056</v>
      </c>
    </row>
    <row r="133" spans="1:30" s="326" customFormat="1" ht="12.75">
      <c r="A133" s="447" t="s">
        <v>615</v>
      </c>
      <c r="B133" s="340">
        <f>AVERAGE(B70:B132)</f>
        <v>13.06416958265177</v>
      </c>
      <c r="C133" s="341"/>
      <c r="D133" s="448"/>
      <c r="E133" s="448"/>
      <c r="F133" s="340"/>
      <c r="G133" s="448"/>
      <c r="H133" s="448"/>
      <c r="I133" s="448"/>
      <c r="J133" s="340"/>
      <c r="K133" s="448"/>
      <c r="L133" s="448"/>
      <c r="M133" s="448"/>
      <c r="N133" s="448"/>
      <c r="O133" s="448"/>
      <c r="P133" s="340">
        <f>AVERAGE(P70:P132)</f>
        <v>24.417710375519498</v>
      </c>
      <c r="Q133" s="448"/>
      <c r="R133" s="340">
        <f>AVERAGE(R70:R132)</f>
        <v>5.611653244883747</v>
      </c>
      <c r="S133" s="340"/>
      <c r="T133" s="340">
        <f>AVERAGE(T70:T132)</f>
        <v>0.24599027922778066</v>
      </c>
      <c r="U133" s="449"/>
      <c r="V133" s="340">
        <f>AVERAGE(V70:V132)</f>
        <v>6.973701420967967</v>
      </c>
      <c r="W133" s="448"/>
      <c r="X133" s="448"/>
      <c r="Y133" s="448"/>
      <c r="Z133" s="448"/>
      <c r="AA133" s="448"/>
      <c r="AB133" s="340">
        <f>AVERAGE(AB70:AB132)</f>
        <v>4.051349129819493</v>
      </c>
      <c r="AC133" s="448"/>
      <c r="AD133" s="340">
        <f>AVERAGE(AD70:AD132)</f>
        <v>0.058608155812822305</v>
      </c>
    </row>
    <row r="134" ht="12.75">
      <c r="A134" s="337"/>
    </row>
    <row r="135" ht="12.75">
      <c r="A135" s="337"/>
    </row>
    <row r="136" ht="12.75">
      <c r="A136" s="337"/>
    </row>
    <row r="137" ht="12.75">
      <c r="A137" s="337"/>
    </row>
    <row r="138" ht="12.75">
      <c r="A138" s="337"/>
    </row>
    <row r="139" ht="12.75">
      <c r="A139" s="337"/>
    </row>
    <row r="140" ht="12.75">
      <c r="A140" s="337"/>
    </row>
    <row r="141" ht="12.75">
      <c r="A141" s="350"/>
    </row>
    <row r="142" ht="12.75">
      <c r="A142" s="350"/>
    </row>
    <row r="143" ht="12.75">
      <c r="A143" s="350"/>
    </row>
    <row r="144" ht="12.75">
      <c r="A144" s="350"/>
    </row>
    <row r="145" ht="12.75">
      <c r="A145" s="350"/>
    </row>
    <row r="146" ht="12.75">
      <c r="A146" s="350"/>
    </row>
    <row r="147" ht="12.75">
      <c r="A147" s="350"/>
    </row>
    <row r="148" ht="12.75">
      <c r="A148" s="350"/>
    </row>
    <row r="149" ht="12.75">
      <c r="A149" s="350"/>
    </row>
    <row r="150" ht="12.75">
      <c r="A150" s="350"/>
    </row>
    <row r="151" ht="12.75">
      <c r="A151" s="350"/>
    </row>
    <row r="152" ht="12.75">
      <c r="A152" s="350"/>
    </row>
    <row r="153" ht="12.75">
      <c r="A153" s="350"/>
    </row>
    <row r="154" ht="12.75">
      <c r="A154" s="350"/>
    </row>
    <row r="155" ht="12.75">
      <c r="A155" s="350"/>
    </row>
    <row r="156" ht="12.75">
      <c r="A156" s="350"/>
    </row>
    <row r="157" ht="12.75">
      <c r="A157" s="350"/>
    </row>
  </sheetData>
  <sheetProtection/>
  <mergeCells count="30">
    <mergeCell ref="B2:C5"/>
    <mergeCell ref="D2:E5"/>
    <mergeCell ref="F2:G5"/>
    <mergeCell ref="H2:I5"/>
    <mergeCell ref="J2:K5"/>
    <mergeCell ref="L2:O2"/>
    <mergeCell ref="P2:Q5"/>
    <mergeCell ref="R2:W5"/>
    <mergeCell ref="X2:Y5"/>
    <mergeCell ref="Z2:AA5"/>
    <mergeCell ref="AB2:AC5"/>
    <mergeCell ref="AD2:AE5"/>
    <mergeCell ref="AF2:AG5"/>
    <mergeCell ref="L3:M5"/>
    <mergeCell ref="N3:O5"/>
    <mergeCell ref="B6:C6"/>
    <mergeCell ref="D6:E6"/>
    <mergeCell ref="F6:G6"/>
    <mergeCell ref="H6:I6"/>
    <mergeCell ref="J6:K6"/>
    <mergeCell ref="L6:M6"/>
    <mergeCell ref="N6:O6"/>
    <mergeCell ref="AB6:AC6"/>
    <mergeCell ref="AD6:AE6"/>
    <mergeCell ref="P6:Q6"/>
    <mergeCell ref="R6:S6"/>
    <mergeCell ref="T6:U6"/>
    <mergeCell ref="V6:W6"/>
    <mergeCell ref="X6:Y6"/>
    <mergeCell ref="Z6:AA6"/>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W64"/>
  <sheetViews>
    <sheetView zoomScalePageLayoutView="0" workbookViewId="0" topLeftCell="A1">
      <selection activeCell="O23" sqref="O23"/>
    </sheetView>
  </sheetViews>
  <sheetFormatPr defaultColWidth="8.8515625" defaultRowHeight="12.75"/>
  <cols>
    <col min="1" max="1" width="19.28125" style="0" customWidth="1"/>
    <col min="2" max="2" width="12.140625" style="29" customWidth="1"/>
    <col min="3" max="3" width="9.421875" style="0" customWidth="1"/>
    <col min="4" max="8" width="7.28125" style="0" hidden="1" customWidth="1"/>
    <col min="9" max="9" width="17.421875" style="0" customWidth="1"/>
    <col min="10" max="10" width="11.8515625" style="14" customWidth="1"/>
    <col min="11" max="11" width="9.140625" style="14" hidden="1" customWidth="1"/>
    <col min="12" max="12" width="12.7109375" style="14" customWidth="1"/>
    <col min="13" max="13" width="15.421875" style="14" hidden="1" customWidth="1"/>
    <col min="14" max="14" width="10.7109375" style="33" customWidth="1"/>
    <col min="15" max="15" width="11.7109375" style="84" customWidth="1"/>
    <col min="16" max="16" width="10.7109375" style="14" customWidth="1"/>
    <col min="17" max="19" width="9.140625" style="14" hidden="1" customWidth="1"/>
    <col min="20" max="20" width="11.28125" style="14" customWidth="1"/>
    <col min="21" max="21" width="8.8515625" style="0" customWidth="1"/>
    <col min="22" max="22" width="11.28125" style="62" bestFit="1" customWidth="1"/>
    <col min="23" max="23" width="12.421875" style="14" customWidth="1"/>
  </cols>
  <sheetData>
    <row r="1" ht="15.75">
      <c r="A1" s="229" t="s">
        <v>325</v>
      </c>
    </row>
    <row r="2" spans="2:23" s="74" customFormat="1" ht="52.5" customHeight="1">
      <c r="B2" s="75" t="s">
        <v>209</v>
      </c>
      <c r="C2" s="366" t="s">
        <v>644</v>
      </c>
      <c r="I2" s="74" t="s">
        <v>210</v>
      </c>
      <c r="J2" s="76" t="s">
        <v>263</v>
      </c>
      <c r="K2" s="76"/>
      <c r="L2" s="76" t="s">
        <v>211</v>
      </c>
      <c r="M2" s="76" t="s">
        <v>212</v>
      </c>
      <c r="N2" s="77" t="s">
        <v>213</v>
      </c>
      <c r="O2" s="78" t="s">
        <v>214</v>
      </c>
      <c r="P2" s="76" t="s">
        <v>1320</v>
      </c>
      <c r="Q2" s="76" t="s">
        <v>215</v>
      </c>
      <c r="R2" s="76" t="s">
        <v>216</v>
      </c>
      <c r="S2" s="76" t="s">
        <v>217</v>
      </c>
      <c r="T2" s="76" t="s">
        <v>218</v>
      </c>
      <c r="U2" s="74" t="s">
        <v>219</v>
      </c>
      <c r="V2" s="376" t="s">
        <v>1365</v>
      </c>
      <c r="W2" s="76" t="s">
        <v>220</v>
      </c>
    </row>
    <row r="3" spans="2:23" s="80" customFormat="1" ht="16.5" customHeight="1">
      <c r="B3" s="81">
        <v>2008</v>
      </c>
      <c r="C3" s="80">
        <v>2008</v>
      </c>
      <c r="D3" s="80">
        <v>1999</v>
      </c>
      <c r="E3" s="80">
        <v>2000</v>
      </c>
      <c r="F3" s="80">
        <v>2001</v>
      </c>
      <c r="G3" s="80">
        <v>2002</v>
      </c>
      <c r="H3" s="80">
        <v>2003</v>
      </c>
      <c r="I3" s="74" t="s">
        <v>221</v>
      </c>
      <c r="J3" s="82"/>
      <c r="K3" s="82"/>
      <c r="L3" s="82" t="s">
        <v>222</v>
      </c>
      <c r="M3" s="82" t="s">
        <v>222</v>
      </c>
      <c r="N3" s="83"/>
      <c r="O3" s="84"/>
      <c r="P3" s="82"/>
      <c r="Q3" s="82"/>
      <c r="T3" s="82"/>
      <c r="V3" s="189"/>
      <c r="W3" s="82"/>
    </row>
    <row r="4" spans="1:23" s="4" customFormat="1" ht="15">
      <c r="A4"/>
      <c r="B4" s="86"/>
      <c r="C4" s="85"/>
      <c r="D4" s="85" t="s">
        <v>170</v>
      </c>
      <c r="E4" s="85" t="s">
        <v>170</v>
      </c>
      <c r="F4" s="85" t="s">
        <v>170</v>
      </c>
      <c r="G4" s="85" t="s">
        <v>170</v>
      </c>
      <c r="H4" s="85" t="s">
        <v>170</v>
      </c>
      <c r="I4" s="20" t="s">
        <v>170</v>
      </c>
      <c r="J4" s="87" t="s">
        <v>170</v>
      </c>
      <c r="K4" s="87"/>
      <c r="L4" s="87" t="s">
        <v>170</v>
      </c>
      <c r="M4" s="87" t="s">
        <v>170</v>
      </c>
      <c r="N4" s="88" t="s">
        <v>170</v>
      </c>
      <c r="O4" s="89" t="s">
        <v>170</v>
      </c>
      <c r="P4" s="87" t="s">
        <v>170</v>
      </c>
      <c r="Q4" s="90" t="s">
        <v>223</v>
      </c>
      <c r="R4" s="90" t="s">
        <v>224</v>
      </c>
      <c r="S4" s="90"/>
      <c r="T4" s="87" t="s">
        <v>170</v>
      </c>
      <c r="U4" s="89" t="s">
        <v>170</v>
      </c>
      <c r="V4" s="190" t="s">
        <v>170</v>
      </c>
      <c r="W4" s="172" t="s">
        <v>170</v>
      </c>
    </row>
    <row r="5" spans="1:23" s="31" customFormat="1" ht="15">
      <c r="A5" s="31" t="s">
        <v>645</v>
      </c>
      <c r="B5" s="91">
        <f>SUM(B6:B12)</f>
        <v>0.23654974550673152</v>
      </c>
      <c r="C5" s="357"/>
      <c r="I5" s="92">
        <f>SUM(I7:I12)/3</f>
        <v>20083.333333333332</v>
      </c>
      <c r="J5" s="50">
        <v>14582</v>
      </c>
      <c r="K5" s="93">
        <f>(J5-I5)/I5</f>
        <v>-0.2739253112033195</v>
      </c>
      <c r="L5" s="50">
        <f>(4000+L8+L12)/3</f>
        <v>5345.666666666667</v>
      </c>
      <c r="M5" s="50">
        <f>(M6+M8+M12)/3</f>
        <v>20337.777777777777</v>
      </c>
      <c r="N5" s="94">
        <f>(N8+N12)/2</f>
        <v>11850</v>
      </c>
      <c r="O5" s="94">
        <f>SUM(O6:O12)/4</f>
        <v>18060.75</v>
      </c>
      <c r="P5" s="50"/>
      <c r="Q5" s="50"/>
      <c r="R5" s="50"/>
      <c r="S5" s="50"/>
      <c r="T5" s="50"/>
      <c r="V5" s="191">
        <v>20000</v>
      </c>
      <c r="W5" s="50">
        <f>(W6*C6)+(W7*C7)+(W9*C9)+((W11+W10)*C10)+(W12*C12)</f>
        <v>22031.679914669145</v>
      </c>
    </row>
    <row r="6" spans="1:23" ht="15">
      <c r="A6" s="95" t="s">
        <v>147</v>
      </c>
      <c r="B6" s="96">
        <v>0.03765942779806367</v>
      </c>
      <c r="C6" s="48">
        <f>B6/B5</f>
        <v>0.1592029943527967</v>
      </c>
      <c r="I6" s="92"/>
      <c r="L6" s="14" t="s">
        <v>149</v>
      </c>
      <c r="M6" s="14">
        <v>15140</v>
      </c>
      <c r="O6" s="97">
        <v>4968</v>
      </c>
      <c r="P6" s="98">
        <v>10500</v>
      </c>
      <c r="Q6" s="98">
        <v>2</v>
      </c>
      <c r="R6" s="98">
        <v>14520</v>
      </c>
      <c r="S6" s="98">
        <v>75</v>
      </c>
      <c r="T6" s="98">
        <f>(R6*S6)/100</f>
        <v>10890</v>
      </c>
      <c r="U6" s="1">
        <v>8000</v>
      </c>
      <c r="W6" s="14">
        <f>(4100+O6+P6+T6+U6)/5</f>
        <v>7691.6</v>
      </c>
    </row>
    <row r="7" spans="1:23" ht="15">
      <c r="A7" s="1211" t="s">
        <v>1366</v>
      </c>
      <c r="B7" s="96">
        <v>0.0018110477645734728</v>
      </c>
      <c r="C7" s="48">
        <f>B7/B5</f>
        <v>0.007656096863236471</v>
      </c>
      <c r="F7" s="1">
        <v>28000</v>
      </c>
      <c r="G7" s="1">
        <v>28000</v>
      </c>
      <c r="I7" s="14">
        <f>SUM(D7:H7)/2</f>
        <v>28000</v>
      </c>
      <c r="L7" s="14" t="s">
        <v>159</v>
      </c>
      <c r="M7" s="14" t="s">
        <v>159</v>
      </c>
      <c r="O7" s="97">
        <v>31050</v>
      </c>
      <c r="P7" s="14">
        <v>13500</v>
      </c>
      <c r="Q7" s="14">
        <v>3</v>
      </c>
      <c r="R7" s="14">
        <v>21780</v>
      </c>
      <c r="U7" s="1">
        <v>30000</v>
      </c>
      <c r="W7" s="14">
        <f>(O7+P7+U7)/3</f>
        <v>24850</v>
      </c>
    </row>
    <row r="8" spans="1:23" ht="15">
      <c r="A8" s="73" t="s">
        <v>225</v>
      </c>
      <c r="B8" s="96"/>
      <c r="C8" s="48"/>
      <c r="D8" s="1">
        <v>27500</v>
      </c>
      <c r="E8" s="1">
        <v>21000</v>
      </c>
      <c r="I8" s="14">
        <f>SUM(D8:H8)/2</f>
        <v>24250</v>
      </c>
      <c r="L8" s="14">
        <f>SUM(L9:L11)/3</f>
        <v>10270</v>
      </c>
      <c r="M8" s="14">
        <f>SUM(M9:M11)/3</f>
        <v>30333.333333333332</v>
      </c>
      <c r="N8" s="17">
        <f>(N9+N10)/2</f>
        <v>15000</v>
      </c>
      <c r="O8" s="84">
        <v>25875</v>
      </c>
      <c r="W8" s="14">
        <f>(L8+N8+O8)/3</f>
        <v>17048.333333333332</v>
      </c>
    </row>
    <row r="9" spans="1:23" s="71" customFormat="1" ht="15">
      <c r="A9" s="1212" t="s">
        <v>1367</v>
      </c>
      <c r="B9" s="100">
        <v>0.10341338300533752</v>
      </c>
      <c r="C9" s="1213">
        <f>B9/B5</f>
        <v>0.4371739347417504</v>
      </c>
      <c r="D9" s="1214"/>
      <c r="E9" s="1214"/>
      <c r="I9" s="1215"/>
      <c r="J9" s="1215"/>
      <c r="K9" s="1215"/>
      <c r="L9" s="1216">
        <v>9650</v>
      </c>
      <c r="M9" s="1216">
        <v>35880</v>
      </c>
      <c r="N9" s="1217">
        <v>15000</v>
      </c>
      <c r="O9" s="1218"/>
      <c r="P9" s="317">
        <v>27000</v>
      </c>
      <c r="Q9" s="15">
        <v>3</v>
      </c>
      <c r="R9" s="15">
        <v>21780</v>
      </c>
      <c r="S9" s="15">
        <v>50</v>
      </c>
      <c r="T9" s="317">
        <f>(R9*S9)/100</f>
        <v>10890</v>
      </c>
      <c r="V9" s="608"/>
      <c r="W9" s="1215">
        <f>(L9+N9+P9+T9)/4</f>
        <v>15635</v>
      </c>
    </row>
    <row r="10" spans="1:23" s="71" customFormat="1" ht="15">
      <c r="A10" s="1212" t="s">
        <v>1368</v>
      </c>
      <c r="B10" s="101">
        <v>0.0781902947189488</v>
      </c>
      <c r="C10" s="293">
        <f>B10/B5</f>
        <v>0.33054482705720656</v>
      </c>
      <c r="D10" s="1214"/>
      <c r="E10" s="1214"/>
      <c r="I10" s="1215"/>
      <c r="J10" s="1215"/>
      <c r="K10" s="1215"/>
      <c r="L10" s="1216">
        <v>10080</v>
      </c>
      <c r="M10" s="1216">
        <v>23520</v>
      </c>
      <c r="N10" s="1217">
        <v>15000</v>
      </c>
      <c r="O10" s="1219"/>
      <c r="P10" s="184"/>
      <c r="Q10" s="184"/>
      <c r="R10" s="184"/>
      <c r="S10" s="184"/>
      <c r="T10" s="184"/>
      <c r="U10" s="1214">
        <v>24000</v>
      </c>
      <c r="V10" s="608"/>
      <c r="W10" s="1215">
        <f>(L10+N10+U10)/3</f>
        <v>16360</v>
      </c>
    </row>
    <row r="11" spans="1:23" s="73" customFormat="1" ht="15">
      <c r="A11" s="103" t="s">
        <v>226</v>
      </c>
      <c r="B11" s="104"/>
      <c r="C11" s="358"/>
      <c r="D11" s="99"/>
      <c r="E11" s="99"/>
      <c r="I11" s="57"/>
      <c r="J11" s="57"/>
      <c r="K11" s="57"/>
      <c r="L11" s="105">
        <v>11080</v>
      </c>
      <c r="M11" s="105">
        <v>31600</v>
      </c>
      <c r="N11" s="106"/>
      <c r="O11" s="102"/>
      <c r="P11" s="34"/>
      <c r="Q11" s="34"/>
      <c r="R11" s="34"/>
      <c r="S11" s="34"/>
      <c r="T11" s="34"/>
      <c r="U11" s="99">
        <v>36000</v>
      </c>
      <c r="V11" s="192"/>
      <c r="W11" s="57">
        <f>(L11+U11)/2</f>
        <v>23540</v>
      </c>
    </row>
    <row r="12" spans="1:23" ht="15">
      <c r="A12" s="73" t="s">
        <v>154</v>
      </c>
      <c r="B12" s="96">
        <v>0.015475592219808043</v>
      </c>
      <c r="C12" s="48">
        <f>B12/B5</f>
        <v>0.06542214698500977</v>
      </c>
      <c r="F12" s="1">
        <v>8000</v>
      </c>
      <c r="G12" s="1">
        <v>8000</v>
      </c>
      <c r="I12" s="14">
        <f>SUM(D12:H12)/2</f>
        <v>8000</v>
      </c>
      <c r="L12" s="14">
        <v>1767</v>
      </c>
      <c r="M12" s="14">
        <v>15540</v>
      </c>
      <c r="N12" s="34">
        <v>8700</v>
      </c>
      <c r="O12" s="97">
        <v>10350</v>
      </c>
      <c r="P12" s="107">
        <v>12500</v>
      </c>
      <c r="Q12" s="107">
        <v>3</v>
      </c>
      <c r="R12" s="107">
        <v>21780</v>
      </c>
      <c r="S12" s="107"/>
      <c r="T12" s="107"/>
      <c r="U12" s="108">
        <v>12000</v>
      </c>
      <c r="W12" s="14">
        <f>(L12+N12+O12+P12+U12)/5</f>
        <v>9063.4</v>
      </c>
    </row>
    <row r="13" spans="1:23" s="115" customFormat="1" ht="15">
      <c r="A13" s="109" t="s">
        <v>227</v>
      </c>
      <c r="B13" s="111"/>
      <c r="C13" s="359"/>
      <c r="D13" s="110"/>
      <c r="E13" s="110"/>
      <c r="F13" s="110"/>
      <c r="G13" s="110"/>
      <c r="H13" s="110"/>
      <c r="I13" s="110" t="s">
        <v>228</v>
      </c>
      <c r="J13" s="112"/>
      <c r="K13" s="112"/>
      <c r="L13" s="112"/>
      <c r="M13" s="112"/>
      <c r="N13" s="110"/>
      <c r="O13" s="112">
        <v>20700</v>
      </c>
      <c r="P13" s="113"/>
      <c r="Q13" s="113"/>
      <c r="R13" s="113"/>
      <c r="S13" s="113"/>
      <c r="T13" s="113"/>
      <c r="U13" s="114"/>
      <c r="V13" s="193"/>
      <c r="W13" s="116"/>
    </row>
    <row r="14" spans="1:23" s="115" customFormat="1" ht="15">
      <c r="A14" s="117" t="s">
        <v>160</v>
      </c>
      <c r="B14" s="119">
        <v>0.0029344360707249336</v>
      </c>
      <c r="C14" s="360"/>
      <c r="D14" s="118"/>
      <c r="E14" s="118"/>
      <c r="F14" s="118"/>
      <c r="G14" s="118"/>
      <c r="H14" s="118"/>
      <c r="I14" s="120"/>
      <c r="J14" s="113"/>
      <c r="K14" s="113"/>
      <c r="L14" s="113"/>
      <c r="M14" s="113"/>
      <c r="N14" s="118"/>
      <c r="O14" s="113">
        <v>10350</v>
      </c>
      <c r="P14" s="113">
        <v>16275</v>
      </c>
      <c r="Q14" s="113"/>
      <c r="R14" s="113"/>
      <c r="S14" s="113"/>
      <c r="T14" s="113"/>
      <c r="U14" s="121">
        <v>12000</v>
      </c>
      <c r="V14" s="193"/>
      <c r="W14" s="116"/>
    </row>
    <row r="15" spans="1:23" s="115" customFormat="1" ht="15">
      <c r="A15" s="117" t="s">
        <v>229</v>
      </c>
      <c r="B15" s="119"/>
      <c r="C15" s="360"/>
      <c r="D15" s="118"/>
      <c r="E15" s="118"/>
      <c r="F15" s="122"/>
      <c r="G15" s="122"/>
      <c r="H15" s="118"/>
      <c r="I15" s="113"/>
      <c r="J15" s="113"/>
      <c r="K15" s="113"/>
      <c r="L15" s="113"/>
      <c r="M15" s="113"/>
      <c r="N15" s="113"/>
      <c r="O15" s="113">
        <v>10350</v>
      </c>
      <c r="P15" s="113"/>
      <c r="Q15" s="113"/>
      <c r="R15" s="113"/>
      <c r="S15" s="113"/>
      <c r="T15" s="113"/>
      <c r="U15" s="114"/>
      <c r="V15" s="193"/>
      <c r="W15" s="116"/>
    </row>
    <row r="16" spans="1:23" s="115" customFormat="1" ht="15">
      <c r="A16" s="123" t="s">
        <v>161</v>
      </c>
      <c r="B16" s="126">
        <v>0.0011720496652502935</v>
      </c>
      <c r="C16" s="361"/>
      <c r="D16" s="124"/>
      <c r="E16" s="124"/>
      <c r="F16" s="125"/>
      <c r="G16" s="125"/>
      <c r="H16" s="124"/>
      <c r="I16" s="127"/>
      <c r="J16" s="127"/>
      <c r="K16" s="127"/>
      <c r="L16" s="127"/>
      <c r="M16" s="127"/>
      <c r="N16" s="124"/>
      <c r="O16" s="127">
        <v>12420</v>
      </c>
      <c r="P16" s="127">
        <v>16275</v>
      </c>
      <c r="Q16" s="127"/>
      <c r="R16" s="127"/>
      <c r="S16" s="127"/>
      <c r="T16" s="127"/>
      <c r="U16" s="128">
        <v>12000</v>
      </c>
      <c r="V16" s="193"/>
      <c r="W16" s="116"/>
    </row>
    <row r="17" spans="1:23" s="137" customFormat="1" ht="15">
      <c r="A17" s="129"/>
      <c r="B17" s="132"/>
      <c r="C17" s="362"/>
      <c r="D17" s="130"/>
      <c r="E17" s="130"/>
      <c r="F17" s="131"/>
      <c r="G17" s="131"/>
      <c r="H17" s="130"/>
      <c r="I17" s="133"/>
      <c r="J17" s="133"/>
      <c r="K17" s="133"/>
      <c r="L17" s="133"/>
      <c r="M17" s="133"/>
      <c r="N17" s="134"/>
      <c r="O17" s="135"/>
      <c r="P17" s="136"/>
      <c r="Q17" s="136"/>
      <c r="R17" s="136"/>
      <c r="S17" s="136"/>
      <c r="T17" s="136"/>
      <c r="V17" s="194"/>
      <c r="W17" s="136"/>
    </row>
    <row r="18" spans="1:23" s="50" customFormat="1" ht="15">
      <c r="A18" s="50" t="s">
        <v>646</v>
      </c>
      <c r="B18" s="138">
        <f>SUM(B19:B21)</f>
        <v>0.24857512226695133</v>
      </c>
      <c r="C18" s="357"/>
      <c r="I18" s="50">
        <f>SUM(I19:I21)/3</f>
        <v>18566.666666666668</v>
      </c>
      <c r="J18" s="50">
        <v>20480</v>
      </c>
      <c r="K18" s="93">
        <f>(J18-I18)/I18</f>
        <v>0.10305206463195685</v>
      </c>
      <c r="L18" s="50">
        <f>SUM(L19:L21)/3</f>
        <v>10553.333333333334</v>
      </c>
      <c r="M18" s="50">
        <f>(M19+M21)/2</f>
        <v>50360</v>
      </c>
      <c r="N18" s="94">
        <f>(N19+N21)/2</f>
        <v>26600</v>
      </c>
      <c r="O18" s="94">
        <f>SUM(O19:O21)/2</f>
        <v>26599.5</v>
      </c>
      <c r="V18" s="195">
        <v>24000</v>
      </c>
      <c r="W18" s="50">
        <f>(W19*C19)+(W21*C21)</f>
        <v>20557.188138107245</v>
      </c>
    </row>
    <row r="19" spans="1:23" ht="15">
      <c r="A19" s="73" t="s">
        <v>151</v>
      </c>
      <c r="B19" s="29">
        <v>0.060813658544969826</v>
      </c>
      <c r="C19" s="48">
        <f>B19/B18</f>
        <v>0.24464901390920546</v>
      </c>
      <c r="D19" s="1">
        <v>30000</v>
      </c>
      <c r="E19" s="1">
        <v>30000</v>
      </c>
      <c r="I19" s="14">
        <f>SUM(D19:H19)/2</f>
        <v>30000</v>
      </c>
      <c r="L19" s="32">
        <v>10340</v>
      </c>
      <c r="M19" s="34">
        <v>35520</v>
      </c>
      <c r="N19" s="34">
        <v>30000</v>
      </c>
      <c r="O19" s="97">
        <v>21735</v>
      </c>
      <c r="P19" s="34">
        <v>30000</v>
      </c>
      <c r="Q19" s="34">
        <v>3</v>
      </c>
      <c r="R19" s="14">
        <v>21780</v>
      </c>
      <c r="T19" s="34"/>
      <c r="U19" s="1">
        <v>26000</v>
      </c>
      <c r="W19" s="14">
        <f>(L19+N19+O19+P19+U19)/5</f>
        <v>23615</v>
      </c>
    </row>
    <row r="20" spans="1:23" ht="15">
      <c r="A20" s="73" t="s">
        <v>230</v>
      </c>
      <c r="C20" s="48"/>
      <c r="F20" s="1">
        <v>22000</v>
      </c>
      <c r="G20" s="1">
        <v>16000</v>
      </c>
      <c r="H20" s="1">
        <v>17000</v>
      </c>
      <c r="I20" s="14">
        <f>SUM(D20:H20)/5</f>
        <v>11000</v>
      </c>
      <c r="L20" s="32">
        <v>10760</v>
      </c>
      <c r="M20" s="32" t="s">
        <v>159</v>
      </c>
      <c r="O20" s="97">
        <v>8280</v>
      </c>
      <c r="P20" s="34">
        <v>40000</v>
      </c>
      <c r="Q20" s="34">
        <v>1</v>
      </c>
      <c r="R20" s="34">
        <v>7260</v>
      </c>
      <c r="S20" s="34"/>
      <c r="T20" s="34"/>
      <c r="U20" s="1">
        <v>30000</v>
      </c>
      <c r="W20" s="14">
        <f>(L20+O20+P20+U20)/4</f>
        <v>22260</v>
      </c>
    </row>
    <row r="21" spans="1:23" ht="15">
      <c r="A21" s="73" t="s">
        <v>155</v>
      </c>
      <c r="B21" s="29">
        <v>0.18776146372198152</v>
      </c>
      <c r="C21" s="48">
        <f>B21/B18</f>
        <v>0.7553509860907945</v>
      </c>
      <c r="D21" s="1">
        <v>14000</v>
      </c>
      <c r="E21" s="1">
        <v>11500</v>
      </c>
      <c r="F21" s="1">
        <v>18000</v>
      </c>
      <c r="G21" s="1">
        <v>16000</v>
      </c>
      <c r="H21" s="1">
        <v>14000</v>
      </c>
      <c r="I21" s="14">
        <f>SUM(D21:H21)/5</f>
        <v>14700</v>
      </c>
      <c r="L21" s="34">
        <v>10560</v>
      </c>
      <c r="M21" s="32">
        <v>65200</v>
      </c>
      <c r="N21" s="34">
        <v>23200</v>
      </c>
      <c r="O21" s="97">
        <v>23184</v>
      </c>
      <c r="P21" s="34"/>
      <c r="Q21" s="139">
        <v>1</v>
      </c>
      <c r="R21" s="139">
        <v>7260</v>
      </c>
      <c r="S21" s="139">
        <v>150</v>
      </c>
      <c r="T21" s="34">
        <f>(R21*S21)/100</f>
        <v>10890</v>
      </c>
      <c r="U21" s="5">
        <v>30000</v>
      </c>
      <c r="W21" s="14">
        <f>(L21+N21+O21+T21+U21)/5</f>
        <v>19566.8</v>
      </c>
    </row>
    <row r="22" spans="1:23" s="115" customFormat="1" ht="15">
      <c r="A22" s="109" t="s">
        <v>231</v>
      </c>
      <c r="B22" s="141">
        <v>0.020879747974770616</v>
      </c>
      <c r="C22" s="359"/>
      <c r="D22" s="140"/>
      <c r="E22" s="140"/>
      <c r="F22" s="140"/>
      <c r="G22" s="140"/>
      <c r="H22" s="140"/>
      <c r="I22" s="112"/>
      <c r="J22" s="112"/>
      <c r="K22" s="112"/>
      <c r="L22" s="112"/>
      <c r="M22" s="112"/>
      <c r="N22" s="112"/>
      <c r="O22" s="112"/>
      <c r="P22" s="112">
        <v>40000</v>
      </c>
      <c r="Q22" s="112"/>
      <c r="R22" s="112"/>
      <c r="S22" s="112"/>
      <c r="T22" s="112"/>
      <c r="U22" s="142">
        <v>40000</v>
      </c>
      <c r="V22" s="193"/>
      <c r="W22" s="116"/>
    </row>
    <row r="23" spans="1:23" s="115" customFormat="1" ht="15">
      <c r="A23" s="123" t="s">
        <v>162</v>
      </c>
      <c r="B23" s="126">
        <v>0.013190999448350093</v>
      </c>
      <c r="C23" s="361"/>
      <c r="D23" s="124"/>
      <c r="E23" s="124"/>
      <c r="F23" s="125"/>
      <c r="G23" s="125"/>
      <c r="H23" s="125"/>
      <c r="I23" s="124" t="s">
        <v>228</v>
      </c>
      <c r="J23" s="127"/>
      <c r="K23" s="127"/>
      <c r="L23" s="127"/>
      <c r="M23" s="127"/>
      <c r="N23" s="124"/>
      <c r="O23" s="127">
        <v>12317</v>
      </c>
      <c r="P23" s="127"/>
      <c r="Q23" s="127"/>
      <c r="R23" s="127"/>
      <c r="S23" s="127"/>
      <c r="T23" s="127"/>
      <c r="U23" s="128">
        <v>15000</v>
      </c>
      <c r="V23" s="193"/>
      <c r="W23" s="116"/>
    </row>
    <row r="24" spans="1:23" s="137" customFormat="1" ht="15">
      <c r="A24" s="129"/>
      <c r="B24" s="132"/>
      <c r="C24" s="362"/>
      <c r="D24" s="130"/>
      <c r="E24" s="130"/>
      <c r="F24" s="131"/>
      <c r="G24" s="131"/>
      <c r="H24" s="131"/>
      <c r="I24" s="133"/>
      <c r="J24" s="133"/>
      <c r="K24" s="133"/>
      <c r="L24" s="133"/>
      <c r="M24" s="133"/>
      <c r="N24" s="134"/>
      <c r="O24" s="135"/>
      <c r="P24" s="133"/>
      <c r="Q24" s="133"/>
      <c r="R24" s="133"/>
      <c r="S24" s="133"/>
      <c r="T24" s="133"/>
      <c r="V24" s="194"/>
      <c r="W24" s="136"/>
    </row>
    <row r="25" spans="1:23" s="31" customFormat="1" ht="15">
      <c r="A25" s="31" t="s">
        <v>647</v>
      </c>
      <c r="B25" s="91">
        <f>SUM(B26:B29)</f>
        <v>0.6000746525270271</v>
      </c>
      <c r="C25" s="357"/>
      <c r="I25" s="92">
        <f>SUM(I26:I29)/4</f>
        <v>12873.75</v>
      </c>
      <c r="J25" s="50">
        <v>17393</v>
      </c>
      <c r="K25" s="93">
        <f>(J25-I25)/I25</f>
        <v>0.3510437906592873</v>
      </c>
      <c r="L25" s="50">
        <f>SUM(L26:L28)/3</f>
        <v>12506.666666666666</v>
      </c>
      <c r="M25" s="50">
        <f>(M27+M28)/2</f>
        <v>26610</v>
      </c>
      <c r="N25" s="143">
        <f>N27</f>
        <v>7500</v>
      </c>
      <c r="O25" s="94">
        <f>SUM(O26:O29)/3</f>
        <v>6596.333333333333</v>
      </c>
      <c r="P25" s="144"/>
      <c r="Q25" s="144"/>
      <c r="R25" s="144"/>
      <c r="S25" s="144"/>
      <c r="T25" s="144"/>
      <c r="V25" s="195">
        <v>24000</v>
      </c>
      <c r="W25" s="50">
        <f>(W26*C26)+(W27*C27)+(W28*C28)</f>
        <v>16349.809718091332</v>
      </c>
    </row>
    <row r="26" spans="1:23" ht="15">
      <c r="A26" s="73" t="s">
        <v>232</v>
      </c>
      <c r="B26" s="29">
        <v>0.014580243014776263</v>
      </c>
      <c r="C26" s="48">
        <f>B26/B25</f>
        <v>0.024297381923025947</v>
      </c>
      <c r="D26" s="1">
        <v>4400</v>
      </c>
      <c r="E26" s="1">
        <v>4260</v>
      </c>
      <c r="F26" s="1">
        <v>4020</v>
      </c>
      <c r="G26" s="1">
        <v>4540</v>
      </c>
      <c r="H26" s="1">
        <v>2880</v>
      </c>
      <c r="I26" s="14">
        <f>SUM(D26:H26)/5</f>
        <v>4020</v>
      </c>
      <c r="L26" s="14">
        <v>2180</v>
      </c>
      <c r="M26" s="14" t="s">
        <v>159</v>
      </c>
      <c r="O26" s="97">
        <v>10350</v>
      </c>
      <c r="P26" s="34">
        <v>4000</v>
      </c>
      <c r="Q26" s="34"/>
      <c r="R26" s="34"/>
      <c r="S26" s="34"/>
      <c r="T26" s="34"/>
      <c r="U26" s="1">
        <v>9000</v>
      </c>
      <c r="W26" s="14">
        <f>(L26+O26+P26+U26)/4</f>
        <v>6382.5</v>
      </c>
    </row>
    <row r="27" spans="1:23" ht="15">
      <c r="A27" s="73" t="s">
        <v>153</v>
      </c>
      <c r="B27" s="29">
        <v>0.5346573114825026</v>
      </c>
      <c r="C27" s="48">
        <f>B27/B25</f>
        <v>0.8909846620432312</v>
      </c>
      <c r="D27" s="1">
        <v>27000</v>
      </c>
      <c r="E27" s="1">
        <v>26500</v>
      </c>
      <c r="F27" s="1">
        <v>28000</v>
      </c>
      <c r="G27" s="1">
        <v>25500</v>
      </c>
      <c r="H27" s="1">
        <v>25000</v>
      </c>
      <c r="I27" s="14">
        <f>SUM(D27:H27)/5</f>
        <v>26400</v>
      </c>
      <c r="L27" s="14">
        <v>28240</v>
      </c>
      <c r="M27" s="14">
        <v>38740</v>
      </c>
      <c r="N27" s="34">
        <v>7500</v>
      </c>
      <c r="O27" s="97">
        <v>8694</v>
      </c>
      <c r="P27" s="32"/>
      <c r="Q27" s="32">
        <v>2</v>
      </c>
      <c r="R27" s="32"/>
      <c r="S27" s="32"/>
      <c r="T27" s="32"/>
      <c r="U27" s="1">
        <v>25000</v>
      </c>
      <c r="W27" s="14">
        <f>(L27+N27+O27+U27)/4</f>
        <v>17358.5</v>
      </c>
    </row>
    <row r="28" spans="1:23" ht="15">
      <c r="A28" s="73" t="s">
        <v>233</v>
      </c>
      <c r="B28" s="29">
        <v>0.050837098029748215</v>
      </c>
      <c r="C28" s="48">
        <f>B28/B25</f>
        <v>0.08471795603374288</v>
      </c>
      <c r="D28" s="1">
        <v>9000</v>
      </c>
      <c r="E28" s="1">
        <v>9500</v>
      </c>
      <c r="F28" s="1">
        <v>9500</v>
      </c>
      <c r="G28" s="1">
        <v>11500</v>
      </c>
      <c r="H28" s="1">
        <v>11000</v>
      </c>
      <c r="I28" s="14">
        <f>SUM(D28:H28)/5</f>
        <v>10100</v>
      </c>
      <c r="L28" s="14">
        <v>7100</v>
      </c>
      <c r="M28" s="14">
        <v>14480</v>
      </c>
      <c r="O28" s="145">
        <v>745</v>
      </c>
      <c r="P28" s="34" t="s">
        <v>234</v>
      </c>
      <c r="Q28" s="34">
        <v>2</v>
      </c>
      <c r="R28" s="34"/>
      <c r="S28" s="34"/>
      <c r="T28" s="34"/>
      <c r="U28" s="1" t="s">
        <v>235</v>
      </c>
      <c r="W28" s="14">
        <f>(L28+(1200*8.5)+(1000*8.5))/3</f>
        <v>8600</v>
      </c>
    </row>
    <row r="29" spans="1:22" ht="15">
      <c r="A29" s="73" t="s">
        <v>236</v>
      </c>
      <c r="C29" s="48"/>
      <c r="D29" s="1">
        <v>11200</v>
      </c>
      <c r="E29" s="1">
        <v>11040</v>
      </c>
      <c r="F29" s="1">
        <v>10660</v>
      </c>
      <c r="G29" s="1">
        <v>11000</v>
      </c>
      <c r="I29" s="14">
        <f>SUM(D29:H29)/4</f>
        <v>10975</v>
      </c>
      <c r="P29" s="32"/>
      <c r="Q29" s="32"/>
      <c r="R29" s="32"/>
      <c r="S29" s="32"/>
      <c r="T29" s="32"/>
      <c r="V29" s="196"/>
    </row>
    <row r="30" spans="3:22" ht="15">
      <c r="C30" s="48"/>
      <c r="D30" s="1"/>
      <c r="E30" s="1"/>
      <c r="F30" s="1"/>
      <c r="G30" s="1"/>
      <c r="H30" s="1"/>
      <c r="I30" s="14"/>
      <c r="P30" s="32"/>
      <c r="Q30" s="32"/>
      <c r="R30" s="32"/>
      <c r="S30" s="32"/>
      <c r="T30" s="32"/>
      <c r="V30" s="196"/>
    </row>
    <row r="31" spans="1:23" s="31" customFormat="1" ht="15">
      <c r="A31" s="31" t="s">
        <v>648</v>
      </c>
      <c r="B31" s="91">
        <f>SUM(B32:B41)</f>
        <v>0.25633340857688147</v>
      </c>
      <c r="C31" s="357"/>
      <c r="I31" s="92">
        <f>SUM(I32:I40)/9</f>
        <v>20632.333333333332</v>
      </c>
      <c r="J31" s="50">
        <v>18672</v>
      </c>
      <c r="K31" s="93">
        <f>(J31-I31)/I31</f>
        <v>-0.09501268235940347</v>
      </c>
      <c r="L31" s="50">
        <f>SUM(L32:L41)/8</f>
        <v>11600</v>
      </c>
      <c r="M31" s="50">
        <f>SUM(M32:M41)/6</f>
        <v>23485.333333333332</v>
      </c>
      <c r="N31" s="94">
        <f>SUM(N32:N41)/3</f>
        <v>25000</v>
      </c>
      <c r="O31" s="94">
        <f>SUM(O32:O41)/9</f>
        <v>17332.11111111111</v>
      </c>
      <c r="P31" s="144"/>
      <c r="Q31" s="144"/>
      <c r="R31" s="144"/>
      <c r="S31" s="144"/>
      <c r="T31" s="144"/>
      <c r="V31" s="195">
        <v>28000</v>
      </c>
      <c r="W31" s="50">
        <f>(W33*C33)+(W34*C34)+(W35*C35)+(W36*C36)+(W37*C37)+(W38*C38)+(W39*C39)</f>
        <v>18769.242667497878</v>
      </c>
    </row>
    <row r="32" spans="1:23" ht="15">
      <c r="A32" s="73" t="s">
        <v>237</v>
      </c>
      <c r="C32" s="48"/>
      <c r="D32" s="1">
        <v>24000</v>
      </c>
      <c r="E32" s="1">
        <v>30740</v>
      </c>
      <c r="F32" s="1">
        <v>26760</v>
      </c>
      <c r="G32" s="1">
        <v>30800</v>
      </c>
      <c r="H32" t="s">
        <v>159</v>
      </c>
      <c r="I32" s="14">
        <v>28075</v>
      </c>
      <c r="L32" s="14">
        <v>9420</v>
      </c>
      <c r="M32" s="14" t="s">
        <v>159</v>
      </c>
      <c r="O32" s="97">
        <v>21735</v>
      </c>
      <c r="P32" s="34">
        <v>14000</v>
      </c>
      <c r="Q32" s="34">
        <v>3</v>
      </c>
      <c r="R32" s="14">
        <v>21780</v>
      </c>
      <c r="S32" s="14">
        <v>100</v>
      </c>
      <c r="T32" s="98">
        <f>(R32*S32)/100</f>
        <v>21780</v>
      </c>
      <c r="U32" s="1">
        <v>24000</v>
      </c>
      <c r="W32" s="14">
        <f>(L32+O32+P32+T32+U32)/5</f>
        <v>18187</v>
      </c>
    </row>
    <row r="33" spans="1:23" ht="15">
      <c r="A33" s="73" t="s">
        <v>238</v>
      </c>
      <c r="B33" s="29">
        <v>0.0324000040477416</v>
      </c>
      <c r="C33" s="48">
        <f>B33/B31</f>
        <v>0.12639789806416882</v>
      </c>
      <c r="F33" s="1">
        <v>21000</v>
      </c>
      <c r="G33" s="1">
        <v>23000</v>
      </c>
      <c r="I33" s="14">
        <v>22000</v>
      </c>
      <c r="L33" s="14">
        <v>13860</v>
      </c>
      <c r="M33" s="14">
        <v>28920</v>
      </c>
      <c r="N33" s="34">
        <v>20000</v>
      </c>
      <c r="O33" s="97">
        <v>15525</v>
      </c>
      <c r="P33" s="34"/>
      <c r="Q33" s="34">
        <v>2</v>
      </c>
      <c r="R33" s="34">
        <v>14520</v>
      </c>
      <c r="S33" s="34">
        <v>50</v>
      </c>
      <c r="T33" s="98">
        <f>(R33*S33)/100</f>
        <v>7260</v>
      </c>
      <c r="U33" s="1">
        <v>20000</v>
      </c>
      <c r="W33" s="14">
        <f>(L33+N33+O33+T33+U33)/5</f>
        <v>15329</v>
      </c>
    </row>
    <row r="34" spans="1:23" ht="17.25" customHeight="1">
      <c r="A34" s="73" t="s">
        <v>150</v>
      </c>
      <c r="B34" s="29">
        <v>0.05867820246573509</v>
      </c>
      <c r="C34" s="48">
        <f>B34/B31</f>
        <v>0.22891359652066529</v>
      </c>
      <c r="D34" s="1">
        <v>38000</v>
      </c>
      <c r="E34" s="1">
        <v>41000</v>
      </c>
      <c r="F34" s="1">
        <v>44000</v>
      </c>
      <c r="G34" s="1">
        <v>40000</v>
      </c>
      <c r="H34" s="1">
        <v>35000</v>
      </c>
      <c r="I34" s="14">
        <f>SUM(D34:H34)/5</f>
        <v>39600</v>
      </c>
      <c r="L34" s="14">
        <v>19560</v>
      </c>
      <c r="M34" s="14">
        <v>34580</v>
      </c>
      <c r="N34" s="34">
        <v>25000</v>
      </c>
      <c r="O34" s="97">
        <v>20286</v>
      </c>
      <c r="P34" s="34">
        <v>31500</v>
      </c>
      <c r="Q34" s="34">
        <v>2</v>
      </c>
      <c r="R34" s="34">
        <v>14520</v>
      </c>
      <c r="S34" s="34">
        <v>150</v>
      </c>
      <c r="T34" s="98">
        <f>(R34*S34)/100</f>
        <v>21780</v>
      </c>
      <c r="U34" s="1">
        <v>30000</v>
      </c>
      <c r="W34" s="14">
        <f>(L34+N34+O34+P34+T34+U34)/6</f>
        <v>24687.666666666668</v>
      </c>
    </row>
    <row r="35" spans="1:23" ht="15">
      <c r="A35" s="73" t="s">
        <v>163</v>
      </c>
      <c r="B35" s="29">
        <v>0.004311510190463971</v>
      </c>
      <c r="C35" s="48">
        <f>B35/B31</f>
        <v>0.0168199307862394</v>
      </c>
      <c r="D35" s="1">
        <v>19500</v>
      </c>
      <c r="E35" s="1">
        <v>15000</v>
      </c>
      <c r="F35" s="1">
        <v>12000</v>
      </c>
      <c r="G35" s="1">
        <v>14000</v>
      </c>
      <c r="H35" s="1">
        <v>10000</v>
      </c>
      <c r="I35" s="14">
        <v>14100</v>
      </c>
      <c r="O35" s="84">
        <v>5796</v>
      </c>
      <c r="P35" s="32">
        <v>12000</v>
      </c>
      <c r="Q35" s="32">
        <v>2</v>
      </c>
      <c r="R35" s="34">
        <v>14520</v>
      </c>
      <c r="S35" s="32">
        <v>90</v>
      </c>
      <c r="T35" s="98">
        <f>(R35*S35)/100</f>
        <v>13068</v>
      </c>
      <c r="U35" s="1">
        <v>14000</v>
      </c>
      <c r="W35" s="14">
        <f>(O35+P35+T35+U35)/4</f>
        <v>11216</v>
      </c>
    </row>
    <row r="36" spans="1:23" ht="15">
      <c r="A36" s="73" t="s">
        <v>165</v>
      </c>
      <c r="B36" s="29">
        <v>0.04127475006954053</v>
      </c>
      <c r="C36" s="48">
        <f>B36/B31</f>
        <v>0.16101978395516514</v>
      </c>
      <c r="D36" s="1">
        <v>20000</v>
      </c>
      <c r="E36" s="1">
        <v>18000</v>
      </c>
      <c r="F36" s="1">
        <v>21000</v>
      </c>
      <c r="G36" s="1">
        <v>17000</v>
      </c>
      <c r="H36" s="1">
        <v>18000</v>
      </c>
      <c r="I36" s="14">
        <f>SUM(D36:H36)/5</f>
        <v>18800</v>
      </c>
      <c r="L36" s="14">
        <v>10200</v>
      </c>
      <c r="M36" s="14">
        <v>13260</v>
      </c>
      <c r="O36" s="97">
        <v>15560</v>
      </c>
      <c r="P36" s="34">
        <v>17500</v>
      </c>
      <c r="Q36" s="34">
        <v>1</v>
      </c>
      <c r="R36" s="34">
        <v>7260</v>
      </c>
      <c r="S36" s="34"/>
      <c r="T36" s="34"/>
      <c r="U36" s="1">
        <v>20000</v>
      </c>
      <c r="W36" s="14">
        <f>(L36+O36+P36+U36)/4</f>
        <v>15815</v>
      </c>
    </row>
    <row r="37" spans="1:23" ht="15">
      <c r="A37" s="73" t="s">
        <v>152</v>
      </c>
      <c r="B37" s="29">
        <v>0.0049621721915345885</v>
      </c>
      <c r="C37" s="48">
        <f>B37/B31</f>
        <v>0.019358273348307215</v>
      </c>
      <c r="F37" s="1">
        <v>18000</v>
      </c>
      <c r="G37" s="1">
        <v>23000</v>
      </c>
      <c r="I37" s="14">
        <f>SUM(D37:H37)/2</f>
        <v>20500</v>
      </c>
      <c r="L37" s="14">
        <v>13960</v>
      </c>
      <c r="M37" s="14" t="s">
        <v>159</v>
      </c>
      <c r="O37" s="97">
        <v>15504</v>
      </c>
      <c r="P37" s="34"/>
      <c r="Q37" s="34">
        <v>2</v>
      </c>
      <c r="R37" s="34">
        <v>14520</v>
      </c>
      <c r="S37" s="34">
        <v>75</v>
      </c>
      <c r="T37" s="98">
        <f>(R37*S37)/100</f>
        <v>10890</v>
      </c>
      <c r="U37" s="1">
        <v>20000</v>
      </c>
      <c r="W37" s="14">
        <f>(L37+O37+T37+U37)/4</f>
        <v>15088.5</v>
      </c>
    </row>
    <row r="38" spans="1:23" ht="15">
      <c r="A38" s="73" t="s">
        <v>166</v>
      </c>
      <c r="B38" s="29">
        <v>0.07551155383725533</v>
      </c>
      <c r="C38" s="48">
        <f>B38/B31</f>
        <v>0.2945833485244173</v>
      </c>
      <c r="D38" s="1">
        <v>30000</v>
      </c>
      <c r="E38" s="1">
        <v>28000</v>
      </c>
      <c r="F38" s="1">
        <v>38000</v>
      </c>
      <c r="G38" s="1">
        <v>33000</v>
      </c>
      <c r="H38" s="1">
        <v>21000</v>
      </c>
      <c r="I38" s="14">
        <v>30000</v>
      </c>
      <c r="L38" s="14">
        <v>14000</v>
      </c>
      <c r="M38" s="14">
        <v>47560</v>
      </c>
      <c r="O38" s="97">
        <v>18113</v>
      </c>
      <c r="P38" s="34">
        <v>38500</v>
      </c>
      <c r="Q38" s="34">
        <v>3</v>
      </c>
      <c r="R38" s="14">
        <v>21780</v>
      </c>
      <c r="S38" s="14">
        <v>100</v>
      </c>
      <c r="T38" s="98">
        <f>(R38*S38)/100</f>
        <v>21780</v>
      </c>
      <c r="U38" s="1">
        <v>40000</v>
      </c>
      <c r="W38" s="14">
        <f>(L38+O38+P38+T38+U38)/5</f>
        <v>26478.6</v>
      </c>
    </row>
    <row r="39" spans="1:23" ht="15">
      <c r="A39" s="73" t="s">
        <v>239</v>
      </c>
      <c r="B39" s="100">
        <v>0.011294175911628887</v>
      </c>
      <c r="C39" s="48">
        <f>B39/B31</f>
        <v>0.0440604912731906</v>
      </c>
      <c r="D39" s="1">
        <v>6200</v>
      </c>
      <c r="E39" s="1">
        <v>6100</v>
      </c>
      <c r="F39" s="1">
        <v>6800</v>
      </c>
      <c r="G39" s="1">
        <v>5600</v>
      </c>
      <c r="H39" s="1">
        <v>5500</v>
      </c>
      <c r="I39" s="14">
        <v>6040</v>
      </c>
      <c r="L39" s="14">
        <v>3480</v>
      </c>
      <c r="M39" s="14">
        <v>7392</v>
      </c>
      <c r="O39" s="53">
        <v>16560</v>
      </c>
      <c r="P39" s="34">
        <v>4000</v>
      </c>
      <c r="Q39" s="34">
        <v>2</v>
      </c>
      <c r="R39" s="34">
        <v>14520</v>
      </c>
      <c r="S39" s="34"/>
      <c r="T39" s="34"/>
      <c r="U39" s="1">
        <v>8000</v>
      </c>
      <c r="W39" s="14">
        <f>(L39+O39+P39+U39)/4</f>
        <v>8010</v>
      </c>
    </row>
    <row r="40" spans="1:20" ht="15">
      <c r="A40" s="73" t="s">
        <v>240</v>
      </c>
      <c r="B40" s="29">
        <f>0.0154636002849331+0.0124374395780484</f>
        <v>0.0279010398629815</v>
      </c>
      <c r="C40" s="48">
        <f>B40/B31</f>
        <v>0.10884667752784635</v>
      </c>
      <c r="D40" s="1">
        <v>7400</v>
      </c>
      <c r="E40" s="1">
        <v>6840</v>
      </c>
      <c r="F40" s="1">
        <v>6740</v>
      </c>
      <c r="G40" s="1">
        <v>5920</v>
      </c>
      <c r="H40" s="1">
        <v>5980</v>
      </c>
      <c r="I40" s="14">
        <v>6576</v>
      </c>
      <c r="P40" s="32"/>
      <c r="Q40" s="32"/>
      <c r="R40" s="32"/>
      <c r="S40" s="32"/>
      <c r="T40" s="32"/>
    </row>
    <row r="41" spans="1:23" ht="15">
      <c r="A41" s="73" t="s">
        <v>241</v>
      </c>
      <c r="B41" s="146"/>
      <c r="C41" s="363"/>
      <c r="D41" s="1"/>
      <c r="E41" s="1"/>
      <c r="F41" s="1"/>
      <c r="G41" s="1"/>
      <c r="I41" s="147"/>
      <c r="L41" s="14">
        <v>8320</v>
      </c>
      <c r="M41" s="14">
        <v>9200</v>
      </c>
      <c r="N41" s="34">
        <v>30000</v>
      </c>
      <c r="O41" s="97">
        <v>26910</v>
      </c>
      <c r="P41" s="148">
        <v>30000</v>
      </c>
      <c r="Q41" s="148">
        <v>1</v>
      </c>
      <c r="R41" s="148">
        <v>7260</v>
      </c>
      <c r="S41" s="148"/>
      <c r="T41" s="148"/>
      <c r="U41" s="108">
        <v>30000</v>
      </c>
      <c r="W41" s="14">
        <f>(L41+N41+O41+P41+U41)/5</f>
        <v>25046</v>
      </c>
    </row>
    <row r="42" spans="1:23" s="154" customFormat="1" ht="15">
      <c r="A42" s="149" t="s">
        <v>242</v>
      </c>
      <c r="B42" s="152">
        <v>0.0023915504563879228</v>
      </c>
      <c r="C42" s="364"/>
      <c r="D42" s="150"/>
      <c r="E42" s="150"/>
      <c r="F42" s="151"/>
      <c r="G42" s="151"/>
      <c r="H42" s="150"/>
      <c r="I42" s="154" t="s">
        <v>228</v>
      </c>
      <c r="J42" s="155"/>
      <c r="K42" s="155"/>
      <c r="L42" s="155"/>
      <c r="M42" s="155"/>
      <c r="N42" s="150"/>
      <c r="O42" s="155">
        <v>5175</v>
      </c>
      <c r="P42" s="156">
        <v>16000</v>
      </c>
      <c r="Q42" s="156">
        <v>2</v>
      </c>
      <c r="R42" s="156">
        <v>14520</v>
      </c>
      <c r="S42" s="156"/>
      <c r="T42" s="156"/>
      <c r="U42" s="157"/>
      <c r="V42" s="194"/>
      <c r="W42" s="158"/>
    </row>
    <row r="43" spans="1:23" s="154" customFormat="1" ht="15">
      <c r="A43" s="159" t="s">
        <v>243</v>
      </c>
      <c r="B43" s="152"/>
      <c r="C43" s="364"/>
      <c r="D43" s="160"/>
      <c r="E43" s="160"/>
      <c r="F43" s="160"/>
      <c r="G43" s="160"/>
      <c r="H43" s="160"/>
      <c r="I43" s="156"/>
      <c r="J43" s="156"/>
      <c r="K43" s="156"/>
      <c r="L43" s="156"/>
      <c r="M43" s="156"/>
      <c r="N43" s="153"/>
      <c r="O43" s="156">
        <v>8984</v>
      </c>
      <c r="P43" s="156"/>
      <c r="Q43" s="156">
        <v>3</v>
      </c>
      <c r="R43" s="158">
        <v>21780</v>
      </c>
      <c r="S43" s="161"/>
      <c r="T43" s="156"/>
      <c r="U43" s="157"/>
      <c r="V43" s="194"/>
      <c r="W43" s="158"/>
    </row>
    <row r="44" spans="1:23" s="154" customFormat="1" ht="15">
      <c r="A44" s="159" t="s">
        <v>164</v>
      </c>
      <c r="B44" s="152">
        <v>0.04668406744717875</v>
      </c>
      <c r="C44" s="364"/>
      <c r="D44" s="160"/>
      <c r="E44" s="160"/>
      <c r="F44" s="160"/>
      <c r="G44" s="160"/>
      <c r="H44" s="160"/>
      <c r="I44" s="156"/>
      <c r="J44" s="156"/>
      <c r="K44" s="156"/>
      <c r="L44" s="156"/>
      <c r="M44" s="156"/>
      <c r="N44" s="153"/>
      <c r="O44" s="156">
        <v>8280</v>
      </c>
      <c r="P44" s="156"/>
      <c r="Q44" s="156">
        <v>3</v>
      </c>
      <c r="R44" s="158">
        <v>21780</v>
      </c>
      <c r="S44" s="161"/>
      <c r="T44" s="156"/>
      <c r="U44" s="157"/>
      <c r="V44" s="194"/>
      <c r="W44" s="158"/>
    </row>
    <row r="45" spans="1:23" s="154" customFormat="1" ht="15">
      <c r="A45" s="159" t="s">
        <v>244</v>
      </c>
      <c r="B45" s="152">
        <v>0.012710676902505881</v>
      </c>
      <c r="C45" s="364"/>
      <c r="D45" s="160"/>
      <c r="E45" s="160"/>
      <c r="F45" s="160"/>
      <c r="G45" s="160"/>
      <c r="H45" s="160"/>
      <c r="I45" s="156"/>
      <c r="J45" s="156"/>
      <c r="K45" s="156"/>
      <c r="L45" s="156"/>
      <c r="M45" s="156"/>
      <c r="N45" s="153"/>
      <c r="O45" s="156"/>
      <c r="P45" s="156"/>
      <c r="Q45" s="156"/>
      <c r="R45" s="158"/>
      <c r="S45" s="161"/>
      <c r="T45" s="156"/>
      <c r="U45" s="157"/>
      <c r="V45" s="194"/>
      <c r="W45" s="158"/>
    </row>
    <row r="46" spans="1:23" s="154" customFormat="1" ht="15">
      <c r="A46" s="159" t="s">
        <v>245</v>
      </c>
      <c r="B46" s="152"/>
      <c r="C46" s="364"/>
      <c r="D46" s="153"/>
      <c r="E46" s="153"/>
      <c r="F46" s="160"/>
      <c r="G46" s="160"/>
      <c r="H46" s="153"/>
      <c r="I46" s="156"/>
      <c r="J46" s="156"/>
      <c r="K46" s="156"/>
      <c r="L46" s="156"/>
      <c r="M46" s="156"/>
      <c r="N46" s="153"/>
      <c r="O46" s="156">
        <v>10868</v>
      </c>
      <c r="P46" s="156" t="s">
        <v>246</v>
      </c>
      <c r="Q46" s="156">
        <v>3</v>
      </c>
      <c r="R46" s="158">
        <v>21780</v>
      </c>
      <c r="S46" s="161"/>
      <c r="T46" s="156"/>
      <c r="U46" s="162">
        <v>16000</v>
      </c>
      <c r="V46" s="194"/>
      <c r="W46" s="158"/>
    </row>
    <row r="47" spans="1:23" s="154" customFormat="1" ht="15">
      <c r="A47" s="159" t="s">
        <v>247</v>
      </c>
      <c r="B47" s="152"/>
      <c r="C47" s="364"/>
      <c r="D47" s="160"/>
      <c r="E47" s="160"/>
      <c r="F47" s="160"/>
      <c r="G47" s="160"/>
      <c r="H47" s="160"/>
      <c r="I47" s="156"/>
      <c r="J47" s="156"/>
      <c r="K47" s="156"/>
      <c r="L47" s="156"/>
      <c r="M47" s="156"/>
      <c r="N47" s="153"/>
      <c r="O47" s="156">
        <v>18837</v>
      </c>
      <c r="P47" s="156">
        <v>12600</v>
      </c>
      <c r="Q47" s="156">
        <v>3</v>
      </c>
      <c r="R47" s="158">
        <v>21780</v>
      </c>
      <c r="S47" s="161"/>
      <c r="T47" s="156"/>
      <c r="U47" s="162">
        <v>20000</v>
      </c>
      <c r="V47" s="194"/>
      <c r="W47" s="158"/>
    </row>
    <row r="48" spans="1:23" s="154" customFormat="1" ht="15">
      <c r="A48" s="159" t="s">
        <v>248</v>
      </c>
      <c r="B48" s="152"/>
      <c r="C48" s="364"/>
      <c r="D48" s="160"/>
      <c r="E48" s="160"/>
      <c r="F48" s="160"/>
      <c r="G48" s="160"/>
      <c r="H48" s="160"/>
      <c r="I48" s="156"/>
      <c r="J48" s="156"/>
      <c r="K48" s="156"/>
      <c r="L48" s="156"/>
      <c r="M48" s="156"/>
      <c r="N48" s="153"/>
      <c r="O48" s="156">
        <v>10350</v>
      </c>
      <c r="P48" s="156"/>
      <c r="Q48" s="156">
        <v>3</v>
      </c>
      <c r="R48" s="158">
        <v>21780</v>
      </c>
      <c r="S48" s="161"/>
      <c r="T48" s="156"/>
      <c r="U48" s="157"/>
      <c r="V48" s="194"/>
      <c r="W48" s="158"/>
    </row>
    <row r="49" spans="1:23" s="154" customFormat="1" ht="15">
      <c r="A49" s="159" t="s">
        <v>249</v>
      </c>
      <c r="B49" s="152">
        <v>0.002976090313286693</v>
      </c>
      <c r="C49" s="364"/>
      <c r="D49" s="160"/>
      <c r="E49" s="160"/>
      <c r="F49" s="160"/>
      <c r="G49" s="160"/>
      <c r="H49" s="160"/>
      <c r="I49" s="156"/>
      <c r="J49" s="156"/>
      <c r="K49" s="156"/>
      <c r="L49" s="156"/>
      <c r="M49" s="156"/>
      <c r="N49" s="153"/>
      <c r="O49" s="156">
        <v>10350</v>
      </c>
      <c r="P49" s="156">
        <v>7500</v>
      </c>
      <c r="Q49" s="156">
        <v>3</v>
      </c>
      <c r="R49" s="158">
        <v>21780</v>
      </c>
      <c r="S49" s="161"/>
      <c r="T49" s="156"/>
      <c r="U49" s="162">
        <v>6000</v>
      </c>
      <c r="V49" s="194"/>
      <c r="W49" s="158"/>
    </row>
    <row r="50" spans="1:23" s="154" customFormat="1" ht="15">
      <c r="A50" s="159" t="s">
        <v>250</v>
      </c>
      <c r="B50" s="152"/>
      <c r="C50" s="364"/>
      <c r="D50" s="153"/>
      <c r="E50" s="153"/>
      <c r="F50" s="153"/>
      <c r="G50" s="153"/>
      <c r="H50" s="153"/>
      <c r="I50" s="153"/>
      <c r="J50" s="156"/>
      <c r="K50" s="156"/>
      <c r="L50" s="156"/>
      <c r="M50" s="156"/>
      <c r="N50" s="153"/>
      <c r="O50" s="156">
        <v>27531</v>
      </c>
      <c r="P50" s="156">
        <v>40000</v>
      </c>
      <c r="Q50" s="156">
        <v>3</v>
      </c>
      <c r="R50" s="158">
        <v>21780</v>
      </c>
      <c r="S50" s="161"/>
      <c r="T50" s="156"/>
      <c r="U50" s="162">
        <v>36000</v>
      </c>
      <c r="V50" s="194"/>
      <c r="W50" s="158"/>
    </row>
    <row r="51" spans="1:23" s="154" customFormat="1" ht="15">
      <c r="A51" s="159" t="s">
        <v>251</v>
      </c>
      <c r="B51" s="152"/>
      <c r="C51" s="364"/>
      <c r="D51" s="160"/>
      <c r="E51" s="160"/>
      <c r="F51" s="160"/>
      <c r="G51" s="160"/>
      <c r="H51" s="160"/>
      <c r="I51" s="156"/>
      <c r="J51" s="156"/>
      <c r="K51" s="156"/>
      <c r="L51" s="156"/>
      <c r="M51" s="156"/>
      <c r="N51" s="153"/>
      <c r="O51" s="156">
        <v>21735</v>
      </c>
      <c r="P51" s="156"/>
      <c r="Q51" s="156">
        <v>3</v>
      </c>
      <c r="R51" s="158">
        <v>21780</v>
      </c>
      <c r="S51" s="161"/>
      <c r="T51" s="156"/>
      <c r="U51" s="157"/>
      <c r="V51" s="194"/>
      <c r="W51" s="158"/>
    </row>
    <row r="52" spans="1:23" s="154" customFormat="1" ht="15">
      <c r="A52" s="163" t="s">
        <v>252</v>
      </c>
      <c r="B52" s="165"/>
      <c r="C52" s="365"/>
      <c r="D52" s="164"/>
      <c r="E52" s="164"/>
      <c r="F52" s="164"/>
      <c r="G52" s="164"/>
      <c r="H52" s="164"/>
      <c r="I52" s="166"/>
      <c r="J52" s="166"/>
      <c r="K52" s="166"/>
      <c r="L52" s="166"/>
      <c r="M52" s="166"/>
      <c r="N52" s="167"/>
      <c r="O52" s="166">
        <v>24633</v>
      </c>
      <c r="P52" s="166">
        <v>40000</v>
      </c>
      <c r="Q52" s="166">
        <v>3</v>
      </c>
      <c r="R52" s="166">
        <v>21780</v>
      </c>
      <c r="S52" s="166"/>
      <c r="T52" s="166"/>
      <c r="U52" s="168">
        <v>24000</v>
      </c>
      <c r="V52" s="194"/>
      <c r="W52" s="158"/>
    </row>
    <row r="53" spans="1:15" ht="15">
      <c r="A53" s="73"/>
      <c r="C53" s="48"/>
      <c r="D53" s="1"/>
      <c r="E53" s="1"/>
      <c r="F53" s="1"/>
      <c r="G53" s="1"/>
      <c r="H53" s="1"/>
      <c r="I53" s="14"/>
      <c r="M53" s="14" t="s">
        <v>253</v>
      </c>
      <c r="O53" s="97"/>
    </row>
    <row r="54" spans="1:15" ht="15">
      <c r="A54" s="169" t="s">
        <v>649</v>
      </c>
      <c r="B54" s="29">
        <f>SUM(B55:B58)</f>
        <v>0.10299243314246351</v>
      </c>
      <c r="C54" s="48"/>
      <c r="D54" s="1"/>
      <c r="E54" s="1"/>
      <c r="F54" s="1"/>
      <c r="G54" s="1"/>
      <c r="H54" s="1"/>
      <c r="I54" s="14">
        <f>(I55+I59)/2</f>
        <v>1704</v>
      </c>
      <c r="J54" s="14">
        <v>1754</v>
      </c>
      <c r="K54" s="93">
        <f>(J54-I54)/I54</f>
        <v>0.029342723004694836</v>
      </c>
      <c r="L54" s="54" t="s">
        <v>146</v>
      </c>
      <c r="M54" s="54">
        <f>SUM(M55:M59)/5</f>
        <v>1439.2</v>
      </c>
      <c r="O54" s="97"/>
    </row>
    <row r="55" spans="1:13" ht="15">
      <c r="A55" s="73" t="s">
        <v>254</v>
      </c>
      <c r="B55" s="29">
        <v>0.09912200763855314</v>
      </c>
      <c r="C55" s="48">
        <f>B55/B54</f>
        <v>0.9624202925805565</v>
      </c>
      <c r="D55" s="1">
        <v>1420</v>
      </c>
      <c r="E55" s="1">
        <v>1370</v>
      </c>
      <c r="F55" s="1">
        <v>1460</v>
      </c>
      <c r="G55">
        <v>870</v>
      </c>
      <c r="H55" s="1">
        <v>1360</v>
      </c>
      <c r="I55" s="14">
        <f>SUM(D55:H55)/5</f>
        <v>1296</v>
      </c>
      <c r="M55" s="14">
        <v>1708</v>
      </c>
    </row>
    <row r="56" spans="1:13" ht="15">
      <c r="A56" s="73" t="s">
        <v>255</v>
      </c>
      <c r="C56" s="48"/>
      <c r="M56" s="14">
        <v>1799</v>
      </c>
    </row>
    <row r="57" spans="1:13" ht="15">
      <c r="A57" s="73" t="s">
        <v>256</v>
      </c>
      <c r="C57" s="48"/>
      <c r="D57" s="1"/>
      <c r="E57" s="1"/>
      <c r="F57" s="1"/>
      <c r="G57" s="1"/>
      <c r="H57" s="1"/>
      <c r="I57" s="14"/>
      <c r="M57" s="14">
        <v>1151</v>
      </c>
    </row>
    <row r="58" spans="1:9" ht="15">
      <c r="A58" s="170" t="s">
        <v>257</v>
      </c>
      <c r="B58" s="100">
        <v>0.0038704255039103685</v>
      </c>
      <c r="C58" s="48">
        <f>B58/B54</f>
        <v>0.03757970741944344</v>
      </c>
      <c r="D58" s="1"/>
      <c r="E58" s="1"/>
      <c r="F58" s="1"/>
      <c r="G58" s="1"/>
      <c r="H58" s="1"/>
      <c r="I58" s="14"/>
    </row>
    <row r="59" spans="1:13" ht="15">
      <c r="A59" s="73" t="s">
        <v>258</v>
      </c>
      <c r="C59" s="48"/>
      <c r="D59" s="1">
        <v>2460</v>
      </c>
      <c r="E59" s="1">
        <v>2220</v>
      </c>
      <c r="F59" s="1">
        <v>1980</v>
      </c>
      <c r="G59" s="1">
        <v>1980</v>
      </c>
      <c r="H59" s="1">
        <v>1920</v>
      </c>
      <c r="I59" s="14">
        <f>SUM(D59:H59)/5</f>
        <v>2112</v>
      </c>
      <c r="M59" s="14">
        <v>2538</v>
      </c>
    </row>
    <row r="61" ht="15">
      <c r="A61" s="79" t="s">
        <v>259</v>
      </c>
    </row>
    <row r="62" ht="15">
      <c r="A62" s="80" t="s">
        <v>260</v>
      </c>
    </row>
    <row r="63" ht="15">
      <c r="A63" s="80" t="s">
        <v>261</v>
      </c>
    </row>
    <row r="64" ht="15">
      <c r="A64" s="171" t="s">
        <v>262</v>
      </c>
    </row>
  </sheetData>
  <sheetProtection/>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R43"/>
  <sheetViews>
    <sheetView zoomScalePageLayoutView="0" workbookViewId="0" topLeftCell="A1">
      <pane xSplit="1" ySplit="10" topLeftCell="B11" activePane="bottomRight" state="frozen"/>
      <selection pane="topLeft" activeCell="A1" sqref="A1"/>
      <selection pane="topRight" activeCell="B1" sqref="B1"/>
      <selection pane="bottomLeft" activeCell="A12" sqref="A12"/>
      <selection pane="bottomRight" activeCell="E41" sqref="E41"/>
    </sheetView>
  </sheetViews>
  <sheetFormatPr defaultColWidth="8.8515625" defaultRowHeight="12.75"/>
  <cols>
    <col min="1" max="1" width="19.7109375" style="0" customWidth="1"/>
    <col min="2" max="3" width="11.7109375" style="0" customWidth="1"/>
    <col min="4" max="6" width="13.00390625" style="0" customWidth="1"/>
    <col min="7" max="7" width="12.140625" style="0" customWidth="1"/>
    <col min="8" max="8" width="8.8515625" style="0" customWidth="1"/>
    <col min="9" max="9" width="15.00390625" style="0" customWidth="1"/>
    <col min="10" max="10" width="10.28125" style="0" bestFit="1" customWidth="1"/>
    <col min="11" max="11" width="11.28125" style="0" bestFit="1" customWidth="1"/>
  </cols>
  <sheetData>
    <row r="1" spans="1:6" s="33" customFormat="1" ht="15.75">
      <c r="A1" s="609" t="s">
        <v>327</v>
      </c>
      <c r="B1" s="609"/>
      <c r="C1" s="609"/>
      <c r="D1" s="609"/>
      <c r="E1" s="609"/>
      <c r="F1" s="609"/>
    </row>
    <row r="2" spans="1:7" s="33" customFormat="1" ht="12.75">
      <c r="A2" s="46" t="s">
        <v>1319</v>
      </c>
      <c r="B2" s="46"/>
      <c r="C2" s="46"/>
      <c r="D2" s="46"/>
      <c r="E2" s="46"/>
      <c r="F2" s="46"/>
      <c r="G2" s="403"/>
    </row>
    <row r="3" spans="1:7" s="33" customFormat="1" ht="12.75">
      <c r="A3" s="33" t="s">
        <v>193</v>
      </c>
      <c r="B3" s="17">
        <v>14500000</v>
      </c>
      <c r="C3" s="46"/>
      <c r="D3" s="46"/>
      <c r="E3" s="46"/>
      <c r="F3" s="46"/>
      <c r="G3" s="403"/>
    </row>
    <row r="4" spans="2:7" s="33" customFormat="1" ht="12.75">
      <c r="B4" s="17"/>
      <c r="C4" s="46"/>
      <c r="D4" s="46"/>
      <c r="E4" s="46"/>
      <c r="F4" s="46"/>
      <c r="G4" s="403"/>
    </row>
    <row r="5" spans="1:6" s="33" customFormat="1" ht="12.75">
      <c r="A5" s="46"/>
      <c r="B5" s="46"/>
      <c r="C5" s="46"/>
      <c r="D5" s="46"/>
      <c r="E5" s="46"/>
      <c r="F5" s="46"/>
    </row>
    <row r="6" spans="1:6" s="33" customFormat="1" ht="12.75">
      <c r="A6" s="46"/>
      <c r="B6" s="46"/>
      <c r="C6" s="46"/>
      <c r="D6" s="46"/>
      <c r="E6" s="46"/>
      <c r="F6" s="46"/>
    </row>
    <row r="7" spans="1:6" s="33" customFormat="1" ht="12.75">
      <c r="A7" s="46"/>
      <c r="B7" s="46"/>
      <c r="C7" s="46"/>
      <c r="D7" s="46"/>
      <c r="E7" s="46"/>
      <c r="F7" s="46"/>
    </row>
    <row r="9" spans="1:17" ht="66" customHeight="1">
      <c r="A9" s="13"/>
      <c r="B9" s="1260" t="s">
        <v>915</v>
      </c>
      <c r="C9" s="1299"/>
      <c r="D9" s="375" t="s">
        <v>692</v>
      </c>
      <c r="E9" s="1260" t="s">
        <v>916</v>
      </c>
      <c r="F9" s="1299"/>
      <c r="G9" s="375" t="s">
        <v>271</v>
      </c>
      <c r="H9" s="1260" t="s">
        <v>914</v>
      </c>
      <c r="I9" s="1299"/>
      <c r="J9" s="463" t="s">
        <v>190</v>
      </c>
      <c r="K9" s="1298" t="s">
        <v>275</v>
      </c>
      <c r="L9" s="1262"/>
      <c r="M9" s="466"/>
      <c r="N9" s="466"/>
      <c r="O9" s="466"/>
      <c r="P9" s="466"/>
      <c r="Q9" s="326"/>
    </row>
    <row r="10" spans="2:17" ht="12.75">
      <c r="B10" s="462" t="s">
        <v>143</v>
      </c>
      <c r="C10" s="388" t="s">
        <v>472</v>
      </c>
      <c r="D10" s="227" t="s">
        <v>39</v>
      </c>
      <c r="E10" s="227" t="s">
        <v>143</v>
      </c>
      <c r="F10" s="227" t="s">
        <v>472</v>
      </c>
      <c r="G10" s="537" t="s">
        <v>264</v>
      </c>
      <c r="H10" s="227" t="s">
        <v>270</v>
      </c>
      <c r="I10" s="537" t="s">
        <v>33</v>
      </c>
      <c r="J10" s="641" t="s">
        <v>170</v>
      </c>
      <c r="K10" s="173" t="s">
        <v>191</v>
      </c>
      <c r="L10" s="227" t="s">
        <v>269</v>
      </c>
      <c r="M10" s="326"/>
      <c r="N10" s="1132" t="s">
        <v>1253</v>
      </c>
      <c r="O10" s="327"/>
      <c r="P10" s="330"/>
      <c r="Q10" s="326"/>
    </row>
    <row r="11" spans="1:17" ht="12.75">
      <c r="A11" s="460" t="s">
        <v>169</v>
      </c>
      <c r="B11" s="467">
        <f>FruitCurrent!AF23</f>
        <v>0.21014834558436601</v>
      </c>
      <c r="C11" s="577">
        <f>FruitCurrent!AD23</f>
        <v>17.524480095007835</v>
      </c>
      <c r="D11" s="468">
        <f>B11/SUM(B11:B18)</f>
        <v>0.5199781915816434</v>
      </c>
      <c r="E11" s="642">
        <f>D11*B20</f>
        <v>0.22628758683679323</v>
      </c>
      <c r="F11" s="645">
        <f>E11*(C11/B11)</f>
        <v>18.870347516853155</v>
      </c>
      <c r="G11" s="538">
        <f>FruitCurrent!AH23</f>
        <v>225.87784842183174</v>
      </c>
      <c r="H11" s="538">
        <f aca="true" t="shared" si="0" ref="H11:H16">B11*G11</f>
        <v>47.46785615000414</v>
      </c>
      <c r="I11" s="469">
        <f>H11*$B$3</f>
        <v>688283914.17506</v>
      </c>
      <c r="J11" s="1203">
        <f>FruitY!G7</f>
        <v>10668</v>
      </c>
      <c r="K11" s="639">
        <f aca="true" t="shared" si="1" ref="K11:K18">I11/J11</f>
        <v>64518.55213489501</v>
      </c>
      <c r="L11" s="470">
        <f aca="true" t="shared" si="2" ref="L11:L17">K11/1000</f>
        <v>64.51855213489502</v>
      </c>
      <c r="M11" s="326"/>
      <c r="N11" s="44" t="s">
        <v>1254</v>
      </c>
      <c r="O11" s="328"/>
      <c r="P11" s="342"/>
      <c r="Q11" s="326"/>
    </row>
    <row r="12" spans="1:17" ht="12.75">
      <c r="A12" s="461" t="s">
        <v>509</v>
      </c>
      <c r="B12" s="471">
        <f>FruitCurrent!AF28</f>
        <v>0.014288422839549834</v>
      </c>
      <c r="C12" s="578">
        <f>FruitCurrent!AD28</f>
        <v>1.154427759163696</v>
      </c>
      <c r="D12" s="472">
        <f>B12/SUM(B11:B18)</f>
        <v>0.03535439809437026</v>
      </c>
      <c r="E12" s="643">
        <f aca="true" t="shared" si="3" ref="E12:E18">D12*$B$20</f>
        <v>0.015385763400014097</v>
      </c>
      <c r="F12" s="645">
        <f aca="true" t="shared" si="4" ref="F12:F18">E12*(C12/B12)</f>
        <v>1.243086977782964</v>
      </c>
      <c r="G12" s="539">
        <f>FruitCurrent!AH28</f>
        <v>179.76380519481592</v>
      </c>
      <c r="H12" s="539">
        <f t="shared" si="0"/>
        <v>2.568541259869995</v>
      </c>
      <c r="I12" s="473">
        <f>H12*$B$3</f>
        <v>37243848.268114924</v>
      </c>
      <c r="J12" s="1204">
        <f>FruitY!G8</f>
        <v>1899.3713456719568</v>
      </c>
      <c r="K12" s="579">
        <f>I12/J12</f>
        <v>19608.51328676797</v>
      </c>
      <c r="L12" s="474">
        <f t="shared" si="2"/>
        <v>19.60851328676797</v>
      </c>
      <c r="M12" s="326"/>
      <c r="N12" s="44" t="s">
        <v>1254</v>
      </c>
      <c r="O12" s="328"/>
      <c r="P12" s="342"/>
      <c r="Q12" s="326"/>
    </row>
    <row r="13" spans="1:17" ht="12.75">
      <c r="A13" s="461" t="s">
        <v>172</v>
      </c>
      <c r="B13" s="471">
        <f>FruitCurrent!AF33</f>
        <v>0.009605858276617397</v>
      </c>
      <c r="C13" s="578">
        <f>FruitCurrent!AD33</f>
        <v>1.0719248569025475</v>
      </c>
      <c r="D13" s="472">
        <f>B13/SUM(B11:B18)</f>
        <v>0.0237681472170327</v>
      </c>
      <c r="E13" s="643">
        <f t="shared" si="3"/>
        <v>0.01034358125859878</v>
      </c>
      <c r="F13" s="645">
        <f t="shared" si="4"/>
        <v>1.1542479121800797</v>
      </c>
      <c r="G13" s="539">
        <f>FruitCurrent!AH33</f>
        <v>240.97561180308895</v>
      </c>
      <c r="H13" s="539">
        <f t="shared" si="0"/>
        <v>2.314777575101643</v>
      </c>
      <c r="I13" s="473">
        <f>H13*$B$3</f>
        <v>33564274.83897383</v>
      </c>
      <c r="J13" s="1204">
        <f>FruitY!G9</f>
        <v>16188</v>
      </c>
      <c r="K13" s="579">
        <f t="shared" si="1"/>
        <v>2073.4046725335943</v>
      </c>
      <c r="L13" s="474">
        <f t="shared" si="2"/>
        <v>2.073404672533594</v>
      </c>
      <c r="M13" s="326"/>
      <c r="N13" s="44" t="s">
        <v>1254</v>
      </c>
      <c r="O13" s="328"/>
      <c r="P13" s="342"/>
      <c r="Q13" s="326"/>
    </row>
    <row r="14" spans="1:17" s="33" customFormat="1" ht="12.75">
      <c r="A14" s="626" t="s">
        <v>173</v>
      </c>
      <c r="B14" s="627">
        <f>FruitCurrent!AF38</f>
        <v>0.050615689433954184</v>
      </c>
      <c r="C14" s="628">
        <f>FruitCurrent!AD38</f>
        <v>6.109965047772768</v>
      </c>
      <c r="D14" s="629">
        <f>B14/SUM(B11:B18)</f>
        <v>0.12524036096662755</v>
      </c>
      <c r="E14" s="643">
        <f t="shared" si="3"/>
        <v>0.05450293784726404</v>
      </c>
      <c r="F14" s="645">
        <f t="shared" si="4"/>
        <v>6.579205953170781</v>
      </c>
      <c r="G14" s="631">
        <f>FruitCurrent!AH38</f>
        <v>254.11229334517506</v>
      </c>
      <c r="H14" s="631">
        <f t="shared" si="0"/>
        <v>12.862068921309243</v>
      </c>
      <c r="I14" s="636">
        <f>H14*$B$3</f>
        <v>186499999.35898402</v>
      </c>
      <c r="J14" s="1205">
        <f>FruitY!M10</f>
        <v>10025.4</v>
      </c>
      <c r="K14" s="640">
        <f t="shared" si="1"/>
        <v>18602.74895355637</v>
      </c>
      <c r="L14" s="633">
        <f t="shared" si="2"/>
        <v>18.602748953556368</v>
      </c>
      <c r="M14" s="599"/>
      <c r="N14" s="44" t="s">
        <v>1255</v>
      </c>
      <c r="O14" s="634"/>
      <c r="P14" s="635"/>
      <c r="Q14" s="599"/>
    </row>
    <row r="15" spans="1:17" s="33" customFormat="1" ht="12.75">
      <c r="A15" s="626" t="s">
        <v>207</v>
      </c>
      <c r="B15" s="627">
        <f>FruitCurrent!AF45</f>
        <v>0.030528021665083886</v>
      </c>
      <c r="C15" s="628">
        <f>FruitCurrent!AD45</f>
        <v>2.0043830245489564</v>
      </c>
      <c r="D15" s="629">
        <f>B15/SUM(B11:B18)</f>
        <v>0.07553666650971953</v>
      </c>
      <c r="E15" s="643">
        <f t="shared" si="3"/>
        <v>0.032872551693345825</v>
      </c>
      <c r="F15" s="645">
        <f t="shared" si="4"/>
        <v>2.1583181940384466</v>
      </c>
      <c r="G15" s="631">
        <f>FruitCurrent!AH45</f>
        <v>286.8598682089166</v>
      </c>
      <c r="H15" s="631">
        <f t="shared" si="0"/>
        <v>8.757264271524916</v>
      </c>
      <c r="I15" s="636">
        <f>H15*B3</f>
        <v>126980331.93711127</v>
      </c>
      <c r="J15" s="661">
        <f>FruitY!G11</f>
        <v>7766.4</v>
      </c>
      <c r="K15" s="636">
        <f t="shared" si="1"/>
        <v>16349.960333888454</v>
      </c>
      <c r="L15" s="633">
        <f t="shared" si="2"/>
        <v>16.349960333888454</v>
      </c>
      <c r="M15" s="599"/>
      <c r="N15" s="44" t="s">
        <v>1254</v>
      </c>
      <c r="O15" s="634"/>
      <c r="P15" s="635"/>
      <c r="Q15" s="599"/>
    </row>
    <row r="16" spans="1:17" s="33" customFormat="1" ht="12.75">
      <c r="A16" s="626" t="s">
        <v>175</v>
      </c>
      <c r="B16" s="627">
        <f>FruitCurrent!AF51</f>
        <v>0.023106547745242532</v>
      </c>
      <c r="C16" s="628">
        <f>FruitCurrent!AD51</f>
        <v>1.9283270932042644</v>
      </c>
      <c r="D16" s="629">
        <f>B16/SUM(B11:B18)</f>
        <v>0.05717342611884906</v>
      </c>
      <c r="E16" s="643">
        <f t="shared" si="3"/>
        <v>0.024881113933399764</v>
      </c>
      <c r="F16" s="645">
        <f t="shared" si="4"/>
        <v>2.0764212220648752</v>
      </c>
      <c r="G16" s="631">
        <f>FruitCurrent!AH51</f>
        <v>232.90941401881744</v>
      </c>
      <c r="H16" s="631">
        <f t="shared" si="0"/>
        <v>5.381732495342265</v>
      </c>
      <c r="I16" s="636">
        <f>H16*B3</f>
        <v>78035121.18246284</v>
      </c>
      <c r="J16" s="661">
        <f>FruitY!G12</f>
        <v>4940</v>
      </c>
      <c r="K16" s="636">
        <f t="shared" si="1"/>
        <v>15796.583235316364</v>
      </c>
      <c r="L16" s="633">
        <f t="shared" si="2"/>
        <v>15.796583235316364</v>
      </c>
      <c r="M16" s="599"/>
      <c r="N16" s="44" t="s">
        <v>1254</v>
      </c>
      <c r="O16" s="634"/>
      <c r="P16" s="635"/>
      <c r="Q16" s="599"/>
    </row>
    <row r="17" spans="1:18" s="33" customFormat="1" ht="12.75">
      <c r="A17" s="626" t="s">
        <v>177</v>
      </c>
      <c r="B17" s="627">
        <f>FruitCurrent!AF56</f>
        <v>0.029480154544799592</v>
      </c>
      <c r="C17" s="628">
        <f>FruitCurrent!AD56</f>
        <v>1.4791613810638977</v>
      </c>
      <c r="D17" s="629">
        <f>B17/SUM(B11:B18)</f>
        <v>0.07294388830483688</v>
      </c>
      <c r="E17" s="643">
        <f t="shared" si="3"/>
        <v>0.031744209134591014</v>
      </c>
      <c r="F17" s="645">
        <f t="shared" si="4"/>
        <v>1.5927599074471555</v>
      </c>
      <c r="G17" s="631">
        <f>FruitCurrent!AH56</f>
        <v>240.17261002951687</v>
      </c>
      <c r="H17" s="631">
        <f>G17*B17</f>
        <v>7.080325661098042</v>
      </c>
      <c r="I17" s="636">
        <f>H17*B3</f>
        <v>102664722.08592162</v>
      </c>
      <c r="J17" s="661">
        <f>FruitY!G13</f>
        <v>4840</v>
      </c>
      <c r="K17" s="636">
        <f t="shared" si="1"/>
        <v>21211.71943924</v>
      </c>
      <c r="L17" s="633">
        <f t="shared" si="2"/>
        <v>21.211719439240003</v>
      </c>
      <c r="M17" s="637"/>
      <c r="N17" s="44" t="s">
        <v>1254</v>
      </c>
      <c r="O17" s="634"/>
      <c r="P17" s="635"/>
      <c r="Q17" s="638"/>
      <c r="R17" s="6"/>
    </row>
    <row r="18" spans="1:18" s="33" customFormat="1" ht="12.75">
      <c r="A18" s="626" t="s">
        <v>178</v>
      </c>
      <c r="B18" s="627">
        <f>FruitCurrent!AF58</f>
        <v>0.03637534341306277</v>
      </c>
      <c r="C18" s="628">
        <f>FruitCurrent!AD58</f>
        <v>1.6478030566117432</v>
      </c>
      <c r="D18" s="629">
        <f>B18/SUM(B11:B18)</f>
        <v>0.09000492120692077</v>
      </c>
      <c r="E18" s="643">
        <f t="shared" si="3"/>
        <v>0.0391689435308787</v>
      </c>
      <c r="F18" s="645">
        <f t="shared" si="4"/>
        <v>1.7743531419488048</v>
      </c>
      <c r="G18" s="631">
        <f>FruitCurrent!AH58</f>
        <v>415.4130006552757</v>
      </c>
      <c r="H18" s="631">
        <f>G18*B18</f>
        <v>15.110790557086522</v>
      </c>
      <c r="I18" s="636">
        <f>H18*B3</f>
        <v>219106463.0777546</v>
      </c>
      <c r="J18" s="1206">
        <f>FruitY!G14</f>
        <v>11600</v>
      </c>
      <c r="K18" s="636">
        <f t="shared" si="1"/>
        <v>18888.488196358154</v>
      </c>
      <c r="L18" s="633">
        <f>K18/1000</f>
        <v>18.888488196358153</v>
      </c>
      <c r="M18" s="638"/>
      <c r="N18" s="44" t="s">
        <v>1254</v>
      </c>
      <c r="O18" s="634"/>
      <c r="P18" s="635"/>
      <c r="Q18" s="638"/>
      <c r="R18" s="6"/>
    </row>
    <row r="19" spans="1:14" s="33" customFormat="1" ht="12.75">
      <c r="A19" s="680" t="s">
        <v>917</v>
      </c>
      <c r="B19" s="665">
        <f>SUM(B11:B18)</f>
        <v>0.4041483835026762</v>
      </c>
      <c r="C19" s="649">
        <f>SUM(C11:C18)</f>
        <v>32.920472314275706</v>
      </c>
      <c r="D19" s="650"/>
      <c r="E19" s="650">
        <f>SUM(E11:E18)</f>
        <v>0.43518668763488544</v>
      </c>
      <c r="F19" s="649">
        <f>SUM(F11:F18)</f>
        <v>35.44874082548626</v>
      </c>
      <c r="G19" s="651"/>
      <c r="H19" s="652">
        <f>SUM(H11:H16)</f>
        <v>79.3522406731522</v>
      </c>
      <c r="I19" s="653">
        <f>SUM(I11:I16)</f>
        <v>1150607489.760707</v>
      </c>
      <c r="J19" s="1207"/>
      <c r="K19" s="653">
        <f>SUM(K11:K18)</f>
        <v>177049.9702525559</v>
      </c>
      <c r="L19" s="654">
        <f>SUM(L11:L18)</f>
        <v>177.04997025255597</v>
      </c>
      <c r="N19" s="69"/>
    </row>
    <row r="20" spans="1:16" s="33" customFormat="1" ht="12.75">
      <c r="A20" s="647" t="s">
        <v>1350</v>
      </c>
      <c r="B20" s="681">
        <f>FruitCurrent!AF9</f>
        <v>0.4351866876348854</v>
      </c>
      <c r="C20" s="656"/>
      <c r="D20" s="656"/>
      <c r="E20" s="656"/>
      <c r="F20" s="656"/>
      <c r="G20" s="657"/>
      <c r="H20" s="630"/>
      <c r="I20" s="636"/>
      <c r="J20" s="630"/>
      <c r="K20" s="631"/>
      <c r="L20" s="632"/>
      <c r="N20" s="1133"/>
      <c r="O20" s="599"/>
      <c r="P20" s="599"/>
    </row>
    <row r="21" spans="1:16" s="33" customFormat="1" ht="12.75">
      <c r="A21" s="655"/>
      <c r="B21" s="648"/>
      <c r="C21" s="656"/>
      <c r="D21" s="656"/>
      <c r="E21" s="656"/>
      <c r="F21" s="656"/>
      <c r="G21" s="657"/>
      <c r="H21" s="630"/>
      <c r="I21" s="636"/>
      <c r="J21" s="630"/>
      <c r="K21" s="631"/>
      <c r="L21" s="632"/>
      <c r="O21" s="599"/>
      <c r="P21" s="599"/>
    </row>
    <row r="22" spans="1:16" s="33" customFormat="1" ht="12.75">
      <c r="A22" s="658" t="s">
        <v>517</v>
      </c>
      <c r="B22" s="659">
        <f>FruitCurrent!AF104</f>
        <v>0.17472020364552976</v>
      </c>
      <c r="C22" s="660">
        <f>FruitCurrent!AD104</f>
        <v>19.877873727111318</v>
      </c>
      <c r="D22" s="629">
        <f>B22/SUM(B22:B31)</f>
        <v>0.5119596458350427</v>
      </c>
      <c r="E22" s="644">
        <f aca="true" t="shared" si="5" ref="E22:E31">D22*$B$33</f>
        <v>0.17429024871577045</v>
      </c>
      <c r="F22" s="646">
        <f>E22*(C22/B22)</f>
        <v>19.828957862638976</v>
      </c>
      <c r="G22" s="661">
        <f>FruitCurrent!AH104</f>
        <v>379.3109950287626</v>
      </c>
      <c r="H22" s="631">
        <f>G22*E22</f>
        <v>66.1102076641894</v>
      </c>
      <c r="I22" s="636">
        <f aca="true" t="shared" si="6" ref="I22:I31">H22*$B$3</f>
        <v>958598011.1307464</v>
      </c>
      <c r="J22" s="631">
        <f>FruitY!G23</f>
        <v>28653.279165727123</v>
      </c>
      <c r="K22" s="631">
        <f>I22/J22</f>
        <v>33455.089226832664</v>
      </c>
      <c r="L22" s="632">
        <f>K22/1000</f>
        <v>33.45508922683266</v>
      </c>
      <c r="M22" s="662"/>
      <c r="N22" s="1134" t="s">
        <v>1256</v>
      </c>
      <c r="O22" s="634"/>
      <c r="P22" s="635"/>
    </row>
    <row r="23" spans="1:16" s="33" customFormat="1" ht="12.75">
      <c r="A23" s="658" t="s">
        <v>510</v>
      </c>
      <c r="B23" s="659">
        <f>FruitCurrent!AF107</f>
        <v>0.07981738131187596</v>
      </c>
      <c r="C23" s="660">
        <f>FruitCurrent!AD107</f>
        <v>11.094616002350762</v>
      </c>
      <c r="D23" s="629">
        <f>B23/SUM(B22:B31)</f>
        <v>0.23387838049234133</v>
      </c>
      <c r="E23" s="644">
        <f t="shared" si="5"/>
        <v>0.07962096512268044</v>
      </c>
      <c r="F23" s="646">
        <f aca="true" t="shared" si="7" ref="F23:F31">E23*(C23/B23)</f>
        <v>11.067314152052584</v>
      </c>
      <c r="G23" s="661">
        <f>FruitCurrent!AH107</f>
        <v>309.99329275018215</v>
      </c>
      <c r="H23" s="631">
        <f>G23*E23</f>
        <v>24.68196515032712</v>
      </c>
      <c r="I23" s="636">
        <f t="shared" si="6"/>
        <v>357888494.67974323</v>
      </c>
      <c r="J23" s="631">
        <f>FruitY!N37</f>
        <v>10196.3583136892</v>
      </c>
      <c r="K23" s="631">
        <f aca="true" t="shared" si="8" ref="K23:K31">I23/J23</f>
        <v>35099.638877858706</v>
      </c>
      <c r="L23" s="632">
        <f aca="true" t="shared" si="9" ref="L23:L31">K23/1000</f>
        <v>35.09963887785871</v>
      </c>
      <c r="M23" s="662"/>
      <c r="N23" s="1134" t="s">
        <v>1256</v>
      </c>
      <c r="O23" s="634"/>
      <c r="P23" s="635"/>
    </row>
    <row r="24" spans="1:16" s="33" customFormat="1" ht="12.75">
      <c r="A24" s="658" t="s">
        <v>516</v>
      </c>
      <c r="B24" s="659">
        <f>FruitCurrent!AF113</f>
        <v>0.024462034573132084</v>
      </c>
      <c r="C24" s="660">
        <f>FruitCurrent!AD113</f>
        <v>2.430134426302554</v>
      </c>
      <c r="D24" s="629">
        <f>B24/SUM(B22:B31)</f>
        <v>0.071677884384069</v>
      </c>
      <c r="E24" s="644">
        <f t="shared" si="5"/>
        <v>0.024401837915062716</v>
      </c>
      <c r="F24" s="646">
        <f t="shared" si="7"/>
        <v>2.4241543034846664</v>
      </c>
      <c r="G24" s="661">
        <f>FruitCurrent!AH113</f>
        <v>540.2649173611089</v>
      </c>
      <c r="H24" s="631">
        <f>G24*E24</f>
        <v>13.183456944640533</v>
      </c>
      <c r="I24" s="636">
        <f t="shared" si="6"/>
        <v>191160125.6972877</v>
      </c>
      <c r="J24" s="631">
        <f>FruitY!N38</f>
        <v>12667.159174156</v>
      </c>
      <c r="K24" s="631">
        <f t="shared" si="8"/>
        <v>15091.002099926205</v>
      </c>
      <c r="L24" s="632">
        <f t="shared" si="9"/>
        <v>15.091002099926206</v>
      </c>
      <c r="M24" s="662"/>
      <c r="N24" s="1134" t="s">
        <v>1256</v>
      </c>
      <c r="O24" s="634"/>
      <c r="P24" s="635"/>
    </row>
    <row r="25" spans="1:16" s="33" customFormat="1" ht="12.75">
      <c r="A25" s="658" t="s">
        <v>515</v>
      </c>
      <c r="B25" s="659">
        <f>FruitCurrent!AF116</f>
        <v>0.016465448608745853</v>
      </c>
      <c r="C25" s="660">
        <f>FruitCurrent!AD116</f>
        <v>4.462136572970126</v>
      </c>
      <c r="D25" s="629">
        <f>B25/SUM(B22:B31)</f>
        <v>0.04824653968095519</v>
      </c>
      <c r="E25" s="644">
        <f t="shared" si="5"/>
        <v>0.016424930107437376</v>
      </c>
      <c r="F25" s="646">
        <f t="shared" si="7"/>
        <v>4.451156059115528</v>
      </c>
      <c r="G25" s="661">
        <f>FruitCurrent!AH116</f>
        <v>408.1083841298747</v>
      </c>
      <c r="H25" s="631">
        <f aca="true" t="shared" si="10" ref="H25:H31">G25*E25</f>
        <v>6.703151685592397</v>
      </c>
      <c r="I25" s="636">
        <f t="shared" si="6"/>
        <v>97195699.44108976</v>
      </c>
      <c r="J25" s="539">
        <f>FruitY!M36</f>
        <v>20360</v>
      </c>
      <c r="K25" s="631">
        <f>I25/J25</f>
        <v>4773.855571762759</v>
      </c>
      <c r="L25" s="632">
        <f t="shared" si="9"/>
        <v>4.773855571762759</v>
      </c>
      <c r="M25" s="662"/>
      <c r="N25" s="1134" t="s">
        <v>1257</v>
      </c>
      <c r="O25" s="634"/>
      <c r="P25" s="635"/>
    </row>
    <row r="26" spans="1:16" s="33" customFormat="1" ht="12.75">
      <c r="A26" s="658" t="s">
        <v>514</v>
      </c>
      <c r="B26" s="659">
        <f>FruitCurrent!AF121</f>
        <v>0.015418482661490724</v>
      </c>
      <c r="C26" s="660">
        <f>FruitCurrent!AD121</f>
        <v>1.3918115273947793</v>
      </c>
      <c r="D26" s="629">
        <f>B26/SUM(B22:B31)</f>
        <v>0.04517875298900785</v>
      </c>
      <c r="E26" s="644">
        <f t="shared" si="5"/>
        <v>0.01538054055467424</v>
      </c>
      <c r="F26" s="646">
        <f t="shared" si="7"/>
        <v>1.3883865300847185</v>
      </c>
      <c r="G26" s="661">
        <f>FruitCurrent!AH121</f>
        <v>442.37897602928246</v>
      </c>
      <c r="H26" s="631">
        <f t="shared" si="10"/>
        <v>6.804027781353643</v>
      </c>
      <c r="I26" s="636">
        <f t="shared" si="6"/>
        <v>98658402.82962783</v>
      </c>
      <c r="J26" s="631">
        <f>FruitY!G26</f>
        <v>32473.952776415477</v>
      </c>
      <c r="K26" s="631">
        <f t="shared" si="8"/>
        <v>3038.0780408500023</v>
      </c>
      <c r="L26" s="632">
        <f t="shared" si="9"/>
        <v>3.038078040850002</v>
      </c>
      <c r="M26" s="662"/>
      <c r="N26" s="1134" t="s">
        <v>1256</v>
      </c>
      <c r="O26" s="634"/>
      <c r="P26" s="635"/>
    </row>
    <row r="27" spans="1:16" s="33" customFormat="1" ht="12.75">
      <c r="A27" s="658" t="s">
        <v>529</v>
      </c>
      <c r="B27" s="659">
        <f>FruitCurrent!AF129</f>
        <v>0.006794851966303277</v>
      </c>
      <c r="C27" s="663">
        <f>FruitCurrent!AD129</f>
        <v>0.36051566393640755</v>
      </c>
      <c r="D27" s="629">
        <f>B27/SUM(B22:B31)</f>
        <v>0.019910061536029876</v>
      </c>
      <c r="E27" s="644">
        <f>D27*$B$33</f>
        <v>0.006778131060312211</v>
      </c>
      <c r="F27" s="646">
        <f t="shared" si="7"/>
        <v>0.359628499866479</v>
      </c>
      <c r="G27" s="661">
        <f>FruitCurrent!AH129</f>
        <v>984.338018782042</v>
      </c>
      <c r="H27" s="631">
        <f t="shared" si="10"/>
        <v>6.671972098952743</v>
      </c>
      <c r="I27" s="636">
        <f t="shared" si="6"/>
        <v>96743595.43481478</v>
      </c>
      <c r="J27" s="631">
        <f>FruitY!G29</f>
        <v>31684.367283510906</v>
      </c>
      <c r="K27" s="631">
        <f t="shared" si="8"/>
        <v>3053.35418470426</v>
      </c>
      <c r="L27" s="632">
        <f t="shared" si="9"/>
        <v>3.05335418470426</v>
      </c>
      <c r="M27" s="662"/>
      <c r="N27" s="1134" t="s">
        <v>1256</v>
      </c>
      <c r="O27" s="634"/>
      <c r="P27" s="635"/>
    </row>
    <row r="28" spans="1:16" s="33" customFormat="1" ht="12.75">
      <c r="A28" s="658" t="s">
        <v>530</v>
      </c>
      <c r="B28" s="659">
        <f>FruitCurrent!AF134</f>
        <v>0.006212408798693755</v>
      </c>
      <c r="C28" s="663">
        <f>FruitCurrent!AD134</f>
        <v>0.3735959853278043</v>
      </c>
      <c r="D28" s="629">
        <f>B28/SUM(B22:B31)</f>
        <v>0.018203404883927007</v>
      </c>
      <c r="E28" s="644">
        <f>D28*$B$33</f>
        <v>0.006197121180359143</v>
      </c>
      <c r="F28" s="646">
        <f t="shared" si="7"/>
        <v>0.37267663294451686</v>
      </c>
      <c r="G28" s="661">
        <f>FruitCurrent!AH134</f>
        <v>523.0542163228889</v>
      </c>
      <c r="H28" s="631">
        <f t="shared" si="10"/>
        <v>3.241430362450728</v>
      </c>
      <c r="I28" s="636">
        <f t="shared" si="6"/>
        <v>47000740.25553556</v>
      </c>
      <c r="J28" s="631">
        <f>FruitY!N35</f>
        <v>7940.1265320634</v>
      </c>
      <c r="K28" s="631">
        <f t="shared" si="8"/>
        <v>5919.394365535568</v>
      </c>
      <c r="L28" s="632">
        <f t="shared" si="9"/>
        <v>5.919394365535568</v>
      </c>
      <c r="M28" s="662"/>
      <c r="N28" s="1134"/>
      <c r="O28" s="634"/>
      <c r="P28" s="635"/>
    </row>
    <row r="29" spans="1:16" s="33" customFormat="1" ht="12.75">
      <c r="A29" s="658" t="s">
        <v>512</v>
      </c>
      <c r="B29" s="659">
        <f>FruitCurrent!AF137</f>
        <v>0.0032289190008384914</v>
      </c>
      <c r="C29" s="663">
        <f>FruitCurrent!AD137</f>
        <v>0.3325786570863646</v>
      </c>
      <c r="D29" s="629">
        <f>B29/SUM(B22:B31)</f>
        <v>0.009461276907924485</v>
      </c>
      <c r="E29" s="644">
        <f t="shared" si="5"/>
        <v>0.003220973213154884</v>
      </c>
      <c r="F29" s="646">
        <f t="shared" si="7"/>
        <v>0.33176024095495305</v>
      </c>
      <c r="G29" s="661">
        <f>FruitCurrent!AH137</f>
        <v>943.6444965987249</v>
      </c>
      <c r="H29" s="631">
        <f t="shared" si="10"/>
        <v>3.039453646285518</v>
      </c>
      <c r="I29" s="636">
        <f t="shared" si="6"/>
        <v>44072077.87114001</v>
      </c>
      <c r="J29" s="631">
        <f>FruitY!G32</f>
        <v>24795.328055183105</v>
      </c>
      <c r="K29" s="631">
        <f t="shared" si="8"/>
        <v>1777.4347559772407</v>
      </c>
      <c r="L29" s="632">
        <f t="shared" si="9"/>
        <v>1.7774347559772408</v>
      </c>
      <c r="M29" s="662"/>
      <c r="N29" s="1134" t="s">
        <v>1256</v>
      </c>
      <c r="O29" s="634"/>
      <c r="P29" s="635"/>
    </row>
    <row r="30" spans="1:16" s="33" customFormat="1" ht="12.75">
      <c r="A30" s="658" t="s">
        <v>533</v>
      </c>
      <c r="B30" s="659">
        <f>FruitCurrent!AF140</f>
        <v>0.007238863884452555</v>
      </c>
      <c r="C30" s="660">
        <f>FruitCurrent!AD140</f>
        <v>0.7745584356364235</v>
      </c>
      <c r="D30" s="629">
        <f>B30/SUM(B22:B31)</f>
        <v>0.021211091294576972</v>
      </c>
      <c r="E30" s="644">
        <f t="shared" si="5"/>
        <v>0.007221050345159233</v>
      </c>
      <c r="F30" s="646">
        <f t="shared" si="7"/>
        <v>0.772652386932038</v>
      </c>
      <c r="G30" s="661">
        <f>FruitCurrent!AH140</f>
        <v>291.7808405752181</v>
      </c>
      <c r="H30" s="631">
        <f t="shared" si="10"/>
        <v>2.10696413954653</v>
      </c>
      <c r="I30" s="636">
        <f t="shared" si="6"/>
        <v>30550980.023424685</v>
      </c>
      <c r="J30" s="631">
        <f>FruitY!N40</f>
        <v>6691.8787224732</v>
      </c>
      <c r="K30" s="631">
        <f t="shared" si="8"/>
        <v>4565.381605142657</v>
      </c>
      <c r="L30" s="632">
        <f t="shared" si="9"/>
        <v>4.565381605142656</v>
      </c>
      <c r="M30" s="662"/>
      <c r="N30" s="1134" t="s">
        <v>1256</v>
      </c>
      <c r="O30" s="634"/>
      <c r="P30" s="635"/>
    </row>
    <row r="31" spans="1:16" s="33" customFormat="1" ht="12.75">
      <c r="A31" s="658" t="s">
        <v>528</v>
      </c>
      <c r="B31" s="659">
        <f>FruitCurrent!AF143</f>
        <v>0.006918701654080109</v>
      </c>
      <c r="C31" s="660">
        <f>FruitCurrent!AD143</f>
        <v>1.134667071269138</v>
      </c>
      <c r="D31" s="664">
        <f>B31/SUM(B22:B31)</f>
        <v>0.02027296199612575</v>
      </c>
      <c r="E31" s="644">
        <f t="shared" si="5"/>
        <v>0.00690167597632998</v>
      </c>
      <c r="F31" s="646">
        <f t="shared" si="7"/>
        <v>1.131874860118117</v>
      </c>
      <c r="G31" s="661">
        <f>FruitCurrent!AH143</f>
        <v>169.38395226053123</v>
      </c>
      <c r="H31" s="631">
        <f t="shared" si="10"/>
        <v>1.1690331540923327</v>
      </c>
      <c r="I31" s="636">
        <f t="shared" si="6"/>
        <v>16950980.734338824</v>
      </c>
      <c r="J31" s="631">
        <f>FruitY!N41</f>
        <v>1592.0044252968</v>
      </c>
      <c r="K31" s="631">
        <f t="shared" si="8"/>
        <v>10647.57136663023</v>
      </c>
      <c r="L31" s="632">
        <f t="shared" si="9"/>
        <v>10.647571366630231</v>
      </c>
      <c r="M31" s="662"/>
      <c r="N31" s="1134" t="s">
        <v>1256</v>
      </c>
      <c r="O31" s="634"/>
      <c r="P31" s="635"/>
    </row>
    <row r="32" spans="1:15" s="33" customFormat="1" ht="12.75">
      <c r="A32" s="679" t="s">
        <v>918</v>
      </c>
      <c r="B32" s="665">
        <f>SUM(B22:B31)</f>
        <v>0.3412772961051425</v>
      </c>
      <c r="C32" s="475">
        <f>SUM(C22:C31)</f>
        <v>42.23248806938567</v>
      </c>
      <c r="D32" s="536"/>
      <c r="E32" s="536">
        <f>SUM(E22:E31)</f>
        <v>0.3404374741909407</v>
      </c>
      <c r="F32" s="536">
        <f>E32*(C32/B33)</f>
        <v>42.23248806938568</v>
      </c>
      <c r="G32" s="666"/>
      <c r="H32" s="541">
        <f>SUM(H22:H31)</f>
        <v>133.71166262743097</v>
      </c>
      <c r="I32" s="475">
        <f>SUM(I22:I31)</f>
        <v>1938819108.0977488</v>
      </c>
      <c r="J32" s="540"/>
      <c r="K32" s="541">
        <f>SUM(K22:K31)</f>
        <v>117420.8000952203</v>
      </c>
      <c r="L32" s="475">
        <f>SUM(L22:L31)</f>
        <v>117.42080009522029</v>
      </c>
      <c r="O32" s="343"/>
    </row>
    <row r="33" spans="1:12" s="33" customFormat="1" ht="12.75">
      <c r="A33" s="535" t="s">
        <v>1351</v>
      </c>
      <c r="B33" s="665">
        <f>FruitCurrent!AF10</f>
        <v>0.3404374741909406</v>
      </c>
      <c r="C33" s="667"/>
      <c r="D33" s="667"/>
      <c r="E33" s="667"/>
      <c r="F33" s="667"/>
      <c r="G33" s="668"/>
      <c r="H33" s="669"/>
      <c r="I33" s="667"/>
      <c r="J33" s="669"/>
      <c r="K33" s="669"/>
      <c r="L33" s="667"/>
    </row>
    <row r="34" spans="1:12" s="33" customFormat="1" ht="13.5" thickBot="1">
      <c r="A34" s="7"/>
      <c r="B34" s="242"/>
      <c r="C34" s="667"/>
      <c r="D34" s="667"/>
      <c r="E34" s="667"/>
      <c r="F34" s="667"/>
      <c r="G34" s="668"/>
      <c r="H34" s="669"/>
      <c r="I34" s="667"/>
      <c r="J34" s="669"/>
      <c r="K34" s="669"/>
      <c r="L34" s="667"/>
    </row>
    <row r="35" spans="1:12" s="677" customFormat="1" ht="13.5" thickBot="1">
      <c r="A35" s="670" t="s">
        <v>273</v>
      </c>
      <c r="B35" s="671">
        <f>B20+B33</f>
        <v>0.7756241618258259</v>
      </c>
      <c r="C35" s="672">
        <f>FruitCurrent!AD11</f>
        <v>79.00927792669114</v>
      </c>
      <c r="D35" s="673"/>
      <c r="E35" s="673"/>
      <c r="F35" s="673"/>
      <c r="G35" s="674"/>
      <c r="H35" s="675">
        <f>H32+H19</f>
        <v>213.06390330058315</v>
      </c>
      <c r="I35" s="672">
        <f>I32+I19</f>
        <v>3089426597.8584557</v>
      </c>
      <c r="J35" s="676"/>
      <c r="K35" s="675">
        <f>K32+K19</f>
        <v>294470.77034777624</v>
      </c>
      <c r="L35" s="672">
        <f>L32+L19</f>
        <v>294.47077034777624</v>
      </c>
    </row>
    <row r="36" spans="2:6" s="33" customFormat="1" ht="12.75">
      <c r="B36" s="623"/>
      <c r="C36" s="623"/>
      <c r="D36" s="623"/>
      <c r="E36" s="623"/>
      <c r="F36" s="623"/>
    </row>
    <row r="37" spans="1:6" s="33" customFormat="1" ht="12.75">
      <c r="A37" s="46"/>
      <c r="B37" s="678"/>
      <c r="C37" s="678"/>
      <c r="D37" s="46"/>
      <c r="E37" s="46"/>
      <c r="F37" s="46"/>
    </row>
    <row r="38" spans="1:6" ht="12.75">
      <c r="A38" s="13"/>
      <c r="B38" s="13"/>
      <c r="C38" s="13"/>
      <c r="D38" s="13"/>
      <c r="E38" s="13"/>
      <c r="F38" s="13"/>
    </row>
    <row r="39" spans="1:6" ht="12.75">
      <c r="A39" s="13"/>
      <c r="B39" s="13"/>
      <c r="C39" s="13"/>
      <c r="D39" s="13"/>
      <c r="E39" s="13"/>
      <c r="F39" s="13"/>
    </row>
    <row r="40" spans="1:6" ht="12.75">
      <c r="A40" s="13"/>
      <c r="B40" s="13"/>
      <c r="C40" s="13"/>
      <c r="D40" s="13"/>
      <c r="E40" s="13"/>
      <c r="F40" s="13"/>
    </row>
    <row r="41" spans="1:6" ht="12.75">
      <c r="A41" s="13"/>
      <c r="B41" s="13"/>
      <c r="C41" s="13"/>
      <c r="D41" s="13"/>
      <c r="E41" s="13"/>
      <c r="F41" s="13"/>
    </row>
    <row r="42" spans="1:6" ht="12.75">
      <c r="A42" s="13"/>
      <c r="B42" s="13"/>
      <c r="C42" s="13"/>
      <c r="D42" s="13"/>
      <c r="E42" s="13"/>
      <c r="F42" s="13"/>
    </row>
    <row r="43" spans="1:6" ht="12.75">
      <c r="A43" s="13"/>
      <c r="B43" s="13"/>
      <c r="C43" s="13"/>
      <c r="D43" s="13"/>
      <c r="E43" s="13"/>
      <c r="F43" s="13"/>
    </row>
  </sheetData>
  <sheetProtection/>
  <mergeCells count="4">
    <mergeCell ref="K9:L9"/>
    <mergeCell ref="H9:I9"/>
    <mergeCell ref="B9:C9"/>
    <mergeCell ref="E9:F9"/>
  </mergeCells>
  <printOptions/>
  <pageMargins left="0.7" right="0.7" top="0.75" bottom="0.75" header="0.3" footer="0.3"/>
  <pageSetup orientation="portrait"/>
  <legacyDrawing r:id="rId2"/>
</worksheet>
</file>

<file path=xl/worksheets/sheet9.xml><?xml version="1.0" encoding="utf-8"?>
<worksheet xmlns="http://schemas.openxmlformats.org/spreadsheetml/2006/main" xmlns:r="http://schemas.openxmlformats.org/officeDocument/2006/relationships">
  <dimension ref="A1:AI157"/>
  <sheetViews>
    <sheetView zoomScalePageLayoutView="0" workbookViewId="0" topLeftCell="A1">
      <pane xSplit="1" ySplit="8" topLeftCell="B123" activePane="bottomRight" state="frozen"/>
      <selection pane="topLeft" activeCell="A1" sqref="A1"/>
      <selection pane="topRight" activeCell="B1" sqref="B1"/>
      <selection pane="bottomLeft" activeCell="A9" sqref="A9"/>
      <selection pane="bottomRight" activeCell="A11" sqref="A11"/>
    </sheetView>
  </sheetViews>
  <sheetFormatPr defaultColWidth="8.8515625" defaultRowHeight="12.75"/>
  <cols>
    <col min="1" max="1" width="25.00390625" style="19" customWidth="1"/>
    <col min="2" max="2" width="10.7109375" style="0" bestFit="1" customWidth="1"/>
    <col min="3" max="3" width="0.9921875" style="0" customWidth="1"/>
    <col min="4" max="4" width="9.140625" style="0" hidden="1" customWidth="1"/>
    <col min="5" max="5" width="0.9921875" style="0" hidden="1" customWidth="1"/>
    <col min="6" max="6" width="9.140625" style="0" hidden="1" customWidth="1"/>
    <col min="7" max="7" width="0.9921875" style="0" hidden="1" customWidth="1"/>
    <col min="8" max="8" width="9.140625" style="0" hidden="1" customWidth="1"/>
    <col min="9" max="9" width="0.9921875" style="0" hidden="1" customWidth="1"/>
    <col min="10" max="10" width="9.140625" style="0" hidden="1" customWidth="1"/>
    <col min="11" max="11" width="0.9921875" style="0" hidden="1" customWidth="1"/>
    <col min="12" max="12" width="9.140625" style="0" hidden="1" customWidth="1"/>
    <col min="13" max="13" width="0.9921875" style="0" hidden="1" customWidth="1"/>
    <col min="14" max="14" width="9.140625" style="0" hidden="1" customWidth="1"/>
    <col min="15" max="15" width="0.9921875" style="0" hidden="1" customWidth="1"/>
    <col min="16" max="16" width="8.8515625" style="0" customWidth="1"/>
    <col min="17" max="17" width="0.9921875" style="0" customWidth="1"/>
    <col min="18" max="18" width="8.8515625" style="0" customWidth="1"/>
    <col min="19" max="19" width="0.9921875" style="0" customWidth="1"/>
    <col min="20" max="20" width="9.140625" style="0" hidden="1" customWidth="1"/>
    <col min="21" max="21" width="0.9921875" style="0" customWidth="1"/>
    <col min="22" max="22" width="9.140625" style="0" customWidth="1"/>
    <col min="23" max="23" width="0.9921875" style="0" customWidth="1"/>
    <col min="24" max="24" width="9.140625" style="0" customWidth="1"/>
    <col min="25" max="25" width="0.9921875" style="0" customWidth="1"/>
    <col min="26" max="26" width="9.140625" style="0" customWidth="1"/>
    <col min="27" max="27" width="0.9921875" style="0" customWidth="1"/>
    <col min="28" max="28" width="9.140625" style="33" customWidth="1"/>
    <col min="29" max="29" width="0.9921875" style="0" customWidth="1"/>
    <col min="30" max="30" width="8.8515625" style="0" customWidth="1"/>
    <col min="31" max="31" width="0.9921875" style="0" customWidth="1"/>
    <col min="32" max="32" width="8.8515625" style="0" customWidth="1"/>
    <col min="33" max="33" width="0.71875" style="0" customWidth="1"/>
  </cols>
  <sheetData>
    <row r="1" s="33" customFormat="1" ht="15.75">
      <c r="A1" s="609" t="s">
        <v>689</v>
      </c>
    </row>
    <row r="2" s="33" customFormat="1" ht="12.75">
      <c r="A2" s="46" t="s">
        <v>276</v>
      </c>
    </row>
    <row r="3" s="33" customFormat="1" ht="12.75">
      <c r="A3" s="46"/>
    </row>
    <row r="4" spans="1:35" s="72" customFormat="1" ht="12" customHeight="1">
      <c r="A4" s="1328"/>
      <c r="B4" s="1315" t="s">
        <v>194</v>
      </c>
      <c r="C4" s="1316"/>
      <c r="D4" s="1303" t="s">
        <v>195</v>
      </c>
      <c r="E4" s="1316"/>
      <c r="F4" s="1315" t="s">
        <v>196</v>
      </c>
      <c r="G4" s="1316"/>
      <c r="H4" s="1315" t="s">
        <v>197</v>
      </c>
      <c r="I4" s="1316"/>
      <c r="J4" s="1315" t="s">
        <v>198</v>
      </c>
      <c r="K4" s="1316"/>
      <c r="L4" s="1321" t="s">
        <v>199</v>
      </c>
      <c r="M4" s="1322"/>
      <c r="N4" s="1322"/>
      <c r="O4" s="1323"/>
      <c r="P4" s="1315" t="s">
        <v>200</v>
      </c>
      <c r="Q4" s="1316"/>
      <c r="R4" s="1303" t="s">
        <v>201</v>
      </c>
      <c r="S4" s="1324"/>
      <c r="T4" s="1324"/>
      <c r="U4" s="1304"/>
      <c r="V4" s="1304"/>
      <c r="W4" s="1304"/>
      <c r="X4" s="1304"/>
      <c r="Y4" s="1325"/>
      <c r="Z4" s="1315" t="s">
        <v>684</v>
      </c>
      <c r="AA4" s="1325"/>
      <c r="AB4" s="1315" t="s">
        <v>685</v>
      </c>
      <c r="AC4" s="1257"/>
      <c r="AD4" s="1303" t="s">
        <v>202</v>
      </c>
      <c r="AE4" s="1325"/>
      <c r="AF4" s="1303" t="s">
        <v>686</v>
      </c>
      <c r="AG4" s="1304"/>
      <c r="AH4" s="1309" t="s">
        <v>47</v>
      </c>
      <c r="AI4" s="1310"/>
    </row>
    <row r="5" spans="1:35" s="72" customFormat="1" ht="12" customHeight="1">
      <c r="A5" s="1329"/>
      <c r="B5" s="1317"/>
      <c r="C5" s="1318"/>
      <c r="D5" s="1317"/>
      <c r="E5" s="1318"/>
      <c r="F5" s="1317"/>
      <c r="G5" s="1318"/>
      <c r="H5" s="1317"/>
      <c r="I5" s="1318"/>
      <c r="J5" s="1317"/>
      <c r="K5" s="1318"/>
      <c r="L5" s="1315" t="s">
        <v>203</v>
      </c>
      <c r="M5" s="1316"/>
      <c r="N5" s="1315" t="s">
        <v>204</v>
      </c>
      <c r="O5" s="1316"/>
      <c r="P5" s="1317"/>
      <c r="Q5" s="1318"/>
      <c r="R5" s="1305"/>
      <c r="S5" s="1306"/>
      <c r="T5" s="1306"/>
      <c r="U5" s="1306"/>
      <c r="V5" s="1306"/>
      <c r="W5" s="1306"/>
      <c r="X5" s="1306"/>
      <c r="Y5" s="1326"/>
      <c r="Z5" s="1305"/>
      <c r="AA5" s="1326"/>
      <c r="AB5" s="1305"/>
      <c r="AC5" s="1306"/>
      <c r="AD5" s="1305"/>
      <c r="AE5" s="1326"/>
      <c r="AF5" s="1305"/>
      <c r="AG5" s="1306"/>
      <c r="AH5" s="1311"/>
      <c r="AI5" s="1312"/>
    </row>
    <row r="6" spans="1:35" s="72" customFormat="1" ht="12" customHeight="1">
      <c r="A6" s="1329"/>
      <c r="B6" s="1317"/>
      <c r="C6" s="1318"/>
      <c r="D6" s="1317"/>
      <c r="E6" s="1318"/>
      <c r="F6" s="1317"/>
      <c r="G6" s="1318"/>
      <c r="H6" s="1317"/>
      <c r="I6" s="1318"/>
      <c r="J6" s="1317"/>
      <c r="K6" s="1318"/>
      <c r="L6" s="1317"/>
      <c r="M6" s="1318"/>
      <c r="N6" s="1317"/>
      <c r="O6" s="1318"/>
      <c r="P6" s="1317"/>
      <c r="Q6" s="1318"/>
      <c r="R6" s="1305"/>
      <c r="S6" s="1306"/>
      <c r="T6" s="1306"/>
      <c r="U6" s="1306"/>
      <c r="V6" s="1306"/>
      <c r="W6" s="1306"/>
      <c r="X6" s="1306"/>
      <c r="Y6" s="1326"/>
      <c r="Z6" s="1305"/>
      <c r="AA6" s="1326"/>
      <c r="AB6" s="1305"/>
      <c r="AC6" s="1306"/>
      <c r="AD6" s="1305"/>
      <c r="AE6" s="1326"/>
      <c r="AF6" s="1305"/>
      <c r="AG6" s="1306"/>
      <c r="AH6" s="1311"/>
      <c r="AI6" s="1312"/>
    </row>
    <row r="7" spans="1:35" s="72" customFormat="1" ht="19.5" customHeight="1">
      <c r="A7" s="1330"/>
      <c r="B7" s="1319"/>
      <c r="C7" s="1320"/>
      <c r="D7" s="1319"/>
      <c r="E7" s="1320"/>
      <c r="F7" s="1319"/>
      <c r="G7" s="1320"/>
      <c r="H7" s="1319"/>
      <c r="I7" s="1320"/>
      <c r="J7" s="1319"/>
      <c r="K7" s="1320"/>
      <c r="L7" s="1319"/>
      <c r="M7" s="1320"/>
      <c r="N7" s="1319"/>
      <c r="O7" s="1320"/>
      <c r="P7" s="1319"/>
      <c r="Q7" s="1320"/>
      <c r="R7" s="1307"/>
      <c r="S7" s="1308"/>
      <c r="T7" s="1308"/>
      <c r="U7" s="1308"/>
      <c r="V7" s="1308"/>
      <c r="W7" s="1308"/>
      <c r="X7" s="1308"/>
      <c r="Y7" s="1327"/>
      <c r="Z7" s="1307"/>
      <c r="AA7" s="1327"/>
      <c r="AB7" s="1307"/>
      <c r="AC7" s="1308"/>
      <c r="AD7" s="1307"/>
      <c r="AE7" s="1327"/>
      <c r="AF7" s="1307"/>
      <c r="AG7" s="1308"/>
      <c r="AH7" s="1313"/>
      <c r="AI7" s="1314"/>
    </row>
    <row r="8" spans="1:35" s="72" customFormat="1" ht="12" customHeight="1">
      <c r="A8" s="450"/>
      <c r="B8" s="1300" t="s">
        <v>582</v>
      </c>
      <c r="C8" s="1300"/>
      <c r="D8" s="1300" t="s">
        <v>583</v>
      </c>
      <c r="E8" s="1300"/>
      <c r="F8" s="1300" t="s">
        <v>582</v>
      </c>
      <c r="G8" s="1300"/>
      <c r="H8" s="1300" t="s">
        <v>583</v>
      </c>
      <c r="I8" s="1300"/>
      <c r="J8" s="1300" t="s">
        <v>582</v>
      </c>
      <c r="K8" s="1300"/>
      <c r="L8" s="1300" t="s">
        <v>583</v>
      </c>
      <c r="M8" s="1300"/>
      <c r="N8" s="1300" t="s">
        <v>583</v>
      </c>
      <c r="O8" s="1300"/>
      <c r="P8" s="1300" t="s">
        <v>583</v>
      </c>
      <c r="Q8" s="1300"/>
      <c r="R8" s="1257" t="s">
        <v>582</v>
      </c>
      <c r="S8" s="1257"/>
      <c r="T8" s="1257" t="s">
        <v>690</v>
      </c>
      <c r="U8" s="1257"/>
      <c r="V8" s="1300" t="s">
        <v>137</v>
      </c>
      <c r="W8" s="1300"/>
      <c r="X8" s="1300" t="s">
        <v>584</v>
      </c>
      <c r="Y8" s="1300"/>
      <c r="Z8" s="1300" t="s">
        <v>585</v>
      </c>
      <c r="AA8" s="1300"/>
      <c r="AB8" s="1301" t="s">
        <v>205</v>
      </c>
      <c r="AC8" s="1301"/>
      <c r="AD8" s="1300" t="s">
        <v>585</v>
      </c>
      <c r="AE8" s="1300"/>
      <c r="AF8" s="1302" t="s">
        <v>206</v>
      </c>
      <c r="AG8" s="1300"/>
      <c r="AH8" s="356" t="s">
        <v>687</v>
      </c>
      <c r="AI8" s="355" t="s">
        <v>804</v>
      </c>
    </row>
    <row r="9" spans="1:35" ht="12.75">
      <c r="A9" s="344" t="s">
        <v>1354</v>
      </c>
      <c r="B9" s="301">
        <f>B23+B28+B33+B38+B45+B51+B56+B58+B66+B73+B76+B79+B87+B90+B93+B98</f>
        <v>119.08375614078058</v>
      </c>
      <c r="C9" s="301"/>
      <c r="D9" s="301"/>
      <c r="E9" s="301"/>
      <c r="F9" s="301"/>
      <c r="G9" s="301"/>
      <c r="H9" s="301"/>
      <c r="I9" s="301"/>
      <c r="J9" s="301"/>
      <c r="K9" s="301"/>
      <c r="L9" s="301"/>
      <c r="M9" s="301"/>
      <c r="N9" s="301"/>
      <c r="O9" s="301"/>
      <c r="P9" s="48">
        <f>1-(R9/B9)</f>
        <v>0.49346656453494486</v>
      </c>
      <c r="Q9" s="301"/>
      <c r="R9" s="301">
        <f>R23+R28+R33+R38+R45+R51+R56+R58+R66+R73+R76+R79+R87+R90+R93+R98</f>
        <v>60.31990410607244</v>
      </c>
      <c r="S9" s="301"/>
      <c r="T9" s="301"/>
      <c r="U9" s="301"/>
      <c r="V9" s="301">
        <f>V23+V28+V33+V38+V45+V51+V56+V58+V66+V73+V76+V79+V87+V90+V93+V98</f>
        <v>2.6441601799922165</v>
      </c>
      <c r="W9" s="301"/>
      <c r="X9" s="301">
        <f>X23+X28+X33+X38+X45+X51+X56+X58+X66+X73+X76+X79+X87+X90+X93+X98</f>
        <v>74.96061902268933</v>
      </c>
      <c r="Y9" s="301"/>
      <c r="Z9" s="301"/>
      <c r="AA9" s="301"/>
      <c r="AB9" s="503"/>
      <c r="AC9" s="301"/>
      <c r="AD9" s="301">
        <f>AD23+AD28+AD33+AD38+AD45+AD51+AD56+AD58+AD66+AD73+AD76+AD79+AD87+AD90+AD93+AD98</f>
        <v>36.299170666533755</v>
      </c>
      <c r="AE9" s="301"/>
      <c r="AF9" s="301">
        <f>AF23+AF28+AF33+AF38+AF45+AF51+AF56+AF58+AF66+AF73+AF76+AF79+AF87+AF90+AF93+AF98</f>
        <v>0.4351866876348854</v>
      </c>
      <c r="AH9" s="246">
        <f>B9/AF9</f>
        <v>273.6383247106353</v>
      </c>
      <c r="AI9" s="451">
        <f>AF9/B9</f>
        <v>0.0036544588593628888</v>
      </c>
    </row>
    <row r="10" spans="1:35" ht="12.75">
      <c r="A10" s="8" t="s">
        <v>1351</v>
      </c>
      <c r="B10" s="301">
        <f>B104+B107+B113+B116+B121+B134+B137+B140+B143+B146+B149+B152+B155</f>
        <v>129.3854380111266</v>
      </c>
      <c r="C10" s="301"/>
      <c r="D10" s="301"/>
      <c r="E10" s="301"/>
      <c r="F10" s="301"/>
      <c r="G10" s="301"/>
      <c r="H10" s="301"/>
      <c r="I10" s="301"/>
      <c r="J10" s="301"/>
      <c r="K10" s="301"/>
      <c r="L10" s="301"/>
      <c r="M10" s="301"/>
      <c r="N10" s="301"/>
      <c r="O10" s="301"/>
      <c r="P10" s="48">
        <f>1-(R10/B10)</f>
        <v>0.562951467233638</v>
      </c>
      <c r="Q10" s="301"/>
      <c r="R10" s="301">
        <f>R104+R107+R113+R116+R121+R134+R137+R140+R143+R146+R149+R152+R155</f>
        <v>56.54771584409596</v>
      </c>
      <c r="S10" s="301"/>
      <c r="T10" s="301"/>
      <c r="U10" s="301"/>
      <c r="V10" s="301">
        <f>V104+V107+V113+V116+V121+V134+V137+V140+V143+V146+V149+V152+V155</f>
        <v>2.478803982206947</v>
      </c>
      <c r="W10" s="301"/>
      <c r="X10" s="301">
        <f>X104+X107+X113+X116+X121+X134+X137+X140+X143+X146+X149+X152+X155</f>
        <v>70.27285349357581</v>
      </c>
      <c r="Y10" s="301"/>
      <c r="Z10" s="301"/>
      <c r="AA10" s="301"/>
      <c r="AB10" s="503"/>
      <c r="AC10" s="301"/>
      <c r="AD10" s="301">
        <f>AD104+AD107+AD113+AD116+AD121+AD134+AD137+AD140+AD143+AD146+AD149+AD152+AD155</f>
        <v>42.71010726015739</v>
      </c>
      <c r="AE10" s="301"/>
      <c r="AF10" s="301">
        <f>AF104+AF107+AF113+AF116+AF121+AF134+AF137+AF140+AF143+AF146+AF149+AF152+AF155</f>
        <v>0.3404374741909406</v>
      </c>
      <c r="AH10" s="246">
        <f>B10/AF10</f>
        <v>380.0563916138046</v>
      </c>
      <c r="AI10" s="451">
        <f>AF10/B10</f>
        <v>0.002631188481671828</v>
      </c>
    </row>
    <row r="11" spans="1:35" ht="12.75">
      <c r="A11" s="346" t="s">
        <v>570</v>
      </c>
      <c r="B11" s="369">
        <f>B10+B9</f>
        <v>248.46919415190717</v>
      </c>
      <c r="C11" s="11"/>
      <c r="D11" s="11"/>
      <c r="E11" s="11"/>
      <c r="F11" s="11"/>
      <c r="G11" s="11"/>
      <c r="H11" s="11"/>
      <c r="I11" s="11"/>
      <c r="J11" s="11"/>
      <c r="K11" s="11"/>
      <c r="L11" s="11"/>
      <c r="M11" s="11"/>
      <c r="N11" s="11"/>
      <c r="O11" s="11"/>
      <c r="P11" s="422">
        <f>1-(R11/B11)</f>
        <v>0.529649458762607</v>
      </c>
      <c r="Q11" s="11"/>
      <c r="R11" s="369">
        <f>R10+R9</f>
        <v>116.8676199501684</v>
      </c>
      <c r="S11" s="11"/>
      <c r="T11" s="11"/>
      <c r="U11" s="11"/>
      <c r="V11" s="369">
        <f>V10+V9</f>
        <v>5.122964162199164</v>
      </c>
      <c r="W11" s="11"/>
      <c r="X11" s="369">
        <f>X10+X9</f>
        <v>145.23347251626512</v>
      </c>
      <c r="Y11" s="11"/>
      <c r="Z11" s="11"/>
      <c r="AA11" s="11"/>
      <c r="AB11" s="10"/>
      <c r="AC11" s="11"/>
      <c r="AD11" s="369">
        <f>AD10+AD9</f>
        <v>79.00927792669114</v>
      </c>
      <c r="AE11" s="11"/>
      <c r="AF11" s="369">
        <f>AF10+AF9</f>
        <v>0.7756241618258259</v>
      </c>
      <c r="AH11" s="453">
        <f>B11/AF11</f>
        <v>320.3474135810939</v>
      </c>
      <c r="AI11" s="454">
        <f>AF11/B11</f>
        <v>0.003121610968608168</v>
      </c>
    </row>
    <row r="12" spans="1:35" ht="12.75">
      <c r="A12" s="344"/>
      <c r="B12" s="177"/>
      <c r="C12" s="4"/>
      <c r="D12" s="4"/>
      <c r="E12" s="4"/>
      <c r="F12" s="4"/>
      <c r="G12" s="4"/>
      <c r="H12" s="4"/>
      <c r="I12" s="4"/>
      <c r="J12" s="4"/>
      <c r="K12" s="4"/>
      <c r="L12" s="4"/>
      <c r="M12" s="4"/>
      <c r="N12" s="4"/>
      <c r="O12" s="4"/>
      <c r="P12" s="24"/>
      <c r="Q12" s="4"/>
      <c r="R12" s="177"/>
      <c r="S12" s="4"/>
      <c r="T12" s="4"/>
      <c r="U12" s="4"/>
      <c r="V12" s="177"/>
      <c r="W12" s="4"/>
      <c r="X12" s="177"/>
      <c r="Y12" s="4"/>
      <c r="Z12" s="4"/>
      <c r="AA12" s="4"/>
      <c r="AB12" s="6"/>
      <c r="AC12" s="4"/>
      <c r="AD12" s="177"/>
      <c r="AE12" s="4"/>
      <c r="AF12" s="177"/>
      <c r="AH12" s="246"/>
      <c r="AI12" s="451"/>
    </row>
    <row r="13" spans="1:35" ht="12.75">
      <c r="A13" s="344" t="s">
        <v>174</v>
      </c>
      <c r="B13" s="177">
        <f>B22+B32+B37+B103+B112+B120+B128+B133</f>
        <v>102.35150714792279</v>
      </c>
      <c r="C13" s="4"/>
      <c r="D13" s="4"/>
      <c r="E13" s="4"/>
      <c r="F13" s="4"/>
      <c r="G13" s="4"/>
      <c r="H13" s="4"/>
      <c r="I13" s="4"/>
      <c r="J13" s="4"/>
      <c r="K13" s="4"/>
      <c r="L13" s="4"/>
      <c r="M13" s="4"/>
      <c r="N13" s="4"/>
      <c r="O13" s="4"/>
      <c r="P13" s="24"/>
      <c r="Q13" s="4"/>
      <c r="R13" s="177">
        <f>R22+R32+R37+R103+R112+R120+R128+R133</f>
        <v>57.84683043893644</v>
      </c>
      <c r="S13" s="4"/>
      <c r="T13" s="4"/>
      <c r="U13" s="4"/>
      <c r="V13" s="177">
        <f>V22+V32+V37+V103+V112+V120+V128+V133</f>
        <v>2.5357514712958436</v>
      </c>
      <c r="W13" s="4"/>
      <c r="X13" s="177">
        <f>X22+X32+X37+X103+X112+X120+X128+X133</f>
        <v>71.88728633550153</v>
      </c>
      <c r="Y13" s="4"/>
      <c r="Z13" s="4"/>
      <c r="AA13" s="4"/>
      <c r="AB13" s="6"/>
      <c r="AC13" s="4"/>
      <c r="AD13" s="177">
        <f>AD22+AD32+AD37+AD103+AD112+AD120+AD128+AD133</f>
        <v>33.53733626442768</v>
      </c>
      <c r="AE13" s="4"/>
      <c r="AF13" s="177">
        <f>AF22+AF32+AF37+AF103+AF112+AF120+AF128+AF133</f>
        <v>0.28879149578350827</v>
      </c>
      <c r="AH13" s="246">
        <f>B13/AF13</f>
        <v>354.41316189120164</v>
      </c>
      <c r="AI13" s="451">
        <f>AF13/B13</f>
        <v>0.002821565640124228</v>
      </c>
    </row>
    <row r="14" spans="1:35" ht="12.75">
      <c r="A14" s="344" t="s">
        <v>691</v>
      </c>
      <c r="B14" s="177">
        <f>B11-B13</f>
        <v>146.11768700398437</v>
      </c>
      <c r="C14" s="4"/>
      <c r="D14" s="4"/>
      <c r="E14" s="4"/>
      <c r="F14" s="4"/>
      <c r="G14" s="4"/>
      <c r="H14" s="4"/>
      <c r="I14" s="4"/>
      <c r="J14" s="4"/>
      <c r="K14" s="4"/>
      <c r="L14" s="4"/>
      <c r="M14" s="4"/>
      <c r="N14" s="4"/>
      <c r="O14" s="4"/>
      <c r="P14" s="24"/>
      <c r="Q14" s="4"/>
      <c r="R14" s="177">
        <f>R11-R13</f>
        <v>59.02078951123196</v>
      </c>
      <c r="S14" s="4"/>
      <c r="T14" s="4"/>
      <c r="U14" s="4"/>
      <c r="V14" s="177">
        <f>V11-V13</f>
        <v>2.5872126909033204</v>
      </c>
      <c r="W14" s="4"/>
      <c r="X14" s="177">
        <f>X11-X13</f>
        <v>73.3461861807636</v>
      </c>
      <c r="Y14" s="4"/>
      <c r="Z14" s="4"/>
      <c r="AA14" s="4"/>
      <c r="AB14" s="6"/>
      <c r="AC14" s="4"/>
      <c r="AD14" s="177">
        <f>AD11-AD13</f>
        <v>45.47194166226346</v>
      </c>
      <c r="AE14" s="4"/>
      <c r="AF14" s="177">
        <f>AF11-AF13</f>
        <v>0.4868326660423177</v>
      </c>
      <c r="AH14" s="246">
        <f>B14/AF14</f>
        <v>300.139446664171</v>
      </c>
      <c r="AI14" s="451">
        <f>AF14/B14</f>
        <v>0.0033317846458180153</v>
      </c>
    </row>
    <row r="15" spans="1:35" ht="12.75">
      <c r="A15" s="346" t="s">
        <v>570</v>
      </c>
      <c r="B15" s="369">
        <f>B14+B13</f>
        <v>248.46919415190717</v>
      </c>
      <c r="C15" s="11"/>
      <c r="D15" s="11"/>
      <c r="E15" s="11"/>
      <c r="F15" s="11"/>
      <c r="G15" s="11"/>
      <c r="H15" s="11"/>
      <c r="I15" s="11"/>
      <c r="J15" s="11"/>
      <c r="K15" s="11"/>
      <c r="L15" s="11"/>
      <c r="M15" s="11"/>
      <c r="N15" s="11"/>
      <c r="O15" s="11"/>
      <c r="P15" s="422">
        <f>1-(R15/B15)</f>
        <v>0.529649458762607</v>
      </c>
      <c r="Q15" s="11"/>
      <c r="R15" s="369">
        <f>R14+R13</f>
        <v>116.8676199501684</v>
      </c>
      <c r="S15" s="11"/>
      <c r="T15" s="11"/>
      <c r="U15" s="11"/>
      <c r="V15" s="369">
        <f>V14+V13</f>
        <v>5.122964162199164</v>
      </c>
      <c r="W15" s="11"/>
      <c r="X15" s="369">
        <f>X14+X13</f>
        <v>145.23347251626512</v>
      </c>
      <c r="Y15" s="11"/>
      <c r="Z15" s="11"/>
      <c r="AA15" s="11"/>
      <c r="AB15" s="10"/>
      <c r="AC15" s="11"/>
      <c r="AD15" s="369">
        <f>AD14+AD13</f>
        <v>79.00927792669114</v>
      </c>
      <c r="AE15" s="11"/>
      <c r="AF15" s="369">
        <f>AF14+AF13</f>
        <v>0.7756241618258259</v>
      </c>
      <c r="AH15" s="453">
        <f>B15/AF15</f>
        <v>320.3474135810939</v>
      </c>
      <c r="AI15" s="454">
        <f>AF15/B15</f>
        <v>0.003121610968608168</v>
      </c>
    </row>
    <row r="16" spans="1:32" ht="12.75">
      <c r="A16" s="8"/>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503"/>
      <c r="AC16" s="301"/>
      <c r="AD16" s="301"/>
      <c r="AE16" s="301"/>
      <c r="AF16" s="301"/>
    </row>
    <row r="17" spans="1:32" ht="12.75">
      <c r="A17" s="8" t="s">
        <v>169</v>
      </c>
      <c r="B17" s="301"/>
      <c r="C17" s="301"/>
      <c r="D17" s="301"/>
      <c r="E17" s="301"/>
      <c r="F17" s="301"/>
      <c r="G17" s="301"/>
      <c r="H17" s="301"/>
      <c r="I17" s="301"/>
      <c r="J17" s="301"/>
      <c r="K17" s="301"/>
      <c r="L17" s="301"/>
      <c r="M17" s="301"/>
      <c r="N17" s="301"/>
      <c r="O17" s="301"/>
      <c r="P17" s="48"/>
      <c r="Q17" s="301"/>
      <c r="R17" s="301"/>
      <c r="S17" s="301"/>
      <c r="T17" s="301"/>
      <c r="U17" s="301"/>
      <c r="V17" s="301"/>
      <c r="W17" s="301"/>
      <c r="X17" s="301"/>
      <c r="Y17" s="301"/>
      <c r="Z17" s="301"/>
      <c r="AA17" s="301"/>
      <c r="AB17" s="503"/>
      <c r="AC17" s="301"/>
      <c r="AD17" s="301"/>
      <c r="AE17" s="301"/>
      <c r="AF17" s="301"/>
    </row>
    <row r="18" spans="1:32" ht="12.75">
      <c r="A18" s="13" t="s">
        <v>156</v>
      </c>
      <c r="B18" s="301">
        <v>16.345637175774506</v>
      </c>
      <c r="C18" s="301"/>
      <c r="D18" s="301">
        <v>4</v>
      </c>
      <c r="E18" s="301"/>
      <c r="F18" s="301">
        <v>15.691811688743524</v>
      </c>
      <c r="G18" s="301"/>
      <c r="H18" s="301">
        <v>8.619981232754515</v>
      </c>
      <c r="I18" s="301"/>
      <c r="J18" s="301">
        <v>14.339180466094657</v>
      </c>
      <c r="K18" s="301"/>
      <c r="L18" s="301">
        <v>10</v>
      </c>
      <c r="M18" s="301"/>
      <c r="N18" s="301">
        <v>20</v>
      </c>
      <c r="O18" s="301"/>
      <c r="P18" s="48">
        <f>0.01*38.592627388411</f>
        <v>0.38592627388411005</v>
      </c>
      <c r="Q18" s="301"/>
      <c r="R18" s="301">
        <v>10.03742632626626</v>
      </c>
      <c r="S18" s="301"/>
      <c r="T18" s="301"/>
      <c r="U18" s="301"/>
      <c r="V18" s="301">
        <v>0.4399967704664662</v>
      </c>
      <c r="W18" s="301"/>
      <c r="X18" s="301">
        <v>12.473688444339084</v>
      </c>
      <c r="Y18" s="301"/>
      <c r="Z18" s="301">
        <v>58.3</v>
      </c>
      <c r="AA18" s="301"/>
      <c r="AB18" s="503">
        <v>111.6</v>
      </c>
      <c r="AC18" s="301"/>
      <c r="AD18" s="301">
        <v>6.516272726747029</v>
      </c>
      <c r="AE18" s="301"/>
      <c r="AF18" s="301">
        <v>0.11177140183099539</v>
      </c>
    </row>
    <row r="19" spans="1:32" ht="12.75">
      <c r="A19" s="13" t="s">
        <v>157</v>
      </c>
      <c r="B19" s="301">
        <v>4.156237849200584</v>
      </c>
      <c r="C19" s="301"/>
      <c r="D19" s="301">
        <v>20</v>
      </c>
      <c r="E19" s="301"/>
      <c r="F19" s="301">
        <v>3.324990279360466</v>
      </c>
      <c r="G19" s="301"/>
      <c r="H19" s="301">
        <v>6</v>
      </c>
      <c r="I19" s="301"/>
      <c r="J19" s="301">
        <v>3.1254908625988382</v>
      </c>
      <c r="K19" s="301"/>
      <c r="L19" s="301">
        <v>0</v>
      </c>
      <c r="M19" s="301"/>
      <c r="N19" s="301">
        <v>8</v>
      </c>
      <c r="O19" s="301"/>
      <c r="P19" s="48">
        <f>0.01*30.816</f>
        <v>0.30816</v>
      </c>
      <c r="Q19" s="301"/>
      <c r="R19" s="301">
        <v>2.875451593590931</v>
      </c>
      <c r="S19" s="301"/>
      <c r="T19" s="301"/>
      <c r="U19" s="301"/>
      <c r="V19" s="301">
        <v>0.12604719314371204</v>
      </c>
      <c r="W19" s="301"/>
      <c r="X19" s="301">
        <v>3.573374902027665</v>
      </c>
      <c r="Y19" s="301"/>
      <c r="Z19" s="301">
        <v>102</v>
      </c>
      <c r="AA19" s="301"/>
      <c r="AB19" s="503">
        <v>244</v>
      </c>
      <c r="AC19" s="301"/>
      <c r="AD19" s="301">
        <v>1.4937878688804171</v>
      </c>
      <c r="AE19" s="301"/>
      <c r="AF19" s="301">
        <v>0.014644979106670755</v>
      </c>
    </row>
    <row r="20" spans="1:32" ht="12.75">
      <c r="A20" s="13" t="s">
        <v>158</v>
      </c>
      <c r="B20" s="301">
        <v>0.04452596618127151</v>
      </c>
      <c r="C20" s="301"/>
      <c r="D20" s="301">
        <v>40.11976047904191</v>
      </c>
      <c r="E20" s="301"/>
      <c r="F20" s="301">
        <v>0.02666225519836618</v>
      </c>
      <c r="G20" s="301"/>
      <c r="H20" s="301">
        <v>6</v>
      </c>
      <c r="I20" s="301"/>
      <c r="J20" s="301">
        <v>0.025062519886464206</v>
      </c>
      <c r="K20" s="301"/>
      <c r="L20" s="301">
        <v>0</v>
      </c>
      <c r="M20" s="301"/>
      <c r="N20" s="301">
        <v>35</v>
      </c>
      <c r="O20" s="301"/>
      <c r="P20" s="48">
        <f>0.01*63.4131736526946</f>
        <v>0.634131736526946</v>
      </c>
      <c r="Q20" s="301"/>
      <c r="R20" s="301">
        <v>0.01629063792620174</v>
      </c>
      <c r="S20" s="301"/>
      <c r="T20" s="301"/>
      <c r="U20" s="301"/>
      <c r="V20" s="301">
        <v>0.0007141101556691174</v>
      </c>
      <c r="W20" s="301"/>
      <c r="X20" s="301">
        <v>0.02024466585814164</v>
      </c>
      <c r="Y20" s="301"/>
      <c r="Z20" s="301">
        <v>83</v>
      </c>
      <c r="AA20" s="301"/>
      <c r="AB20" s="503">
        <v>173</v>
      </c>
      <c r="AC20" s="301"/>
      <c r="AD20" s="301">
        <v>0.00971275876431073</v>
      </c>
      <c r="AE20" s="301"/>
      <c r="AF20" s="301">
        <v>0.00011702118993145456</v>
      </c>
    </row>
    <row r="21" spans="1:32" ht="12.75">
      <c r="A21" s="13" t="s">
        <v>167</v>
      </c>
      <c r="B21" s="301">
        <v>0.9065006359593581</v>
      </c>
      <c r="C21" s="301"/>
      <c r="D21" s="301">
        <v>87.5</v>
      </c>
      <c r="E21" s="301"/>
      <c r="F21" s="301">
        <v>0.1133125794949198</v>
      </c>
      <c r="G21" s="301"/>
      <c r="H21" s="301">
        <v>6</v>
      </c>
      <c r="I21" s="301"/>
      <c r="J21" s="301">
        <v>0.10651382472522461</v>
      </c>
      <c r="K21" s="301"/>
      <c r="L21" s="301">
        <v>0</v>
      </c>
      <c r="M21" s="301"/>
      <c r="N21" s="301">
        <v>11</v>
      </c>
      <c r="O21" s="301"/>
      <c r="P21" s="48">
        <f>0.01*89.5425</f>
        <v>0.895425</v>
      </c>
      <c r="Q21" s="301"/>
      <c r="R21" s="301">
        <v>0.0947973040054499</v>
      </c>
      <c r="S21" s="301"/>
      <c r="T21" s="301"/>
      <c r="U21" s="301"/>
      <c r="V21" s="301">
        <v>0.004155498257773146</v>
      </c>
      <c r="W21" s="301"/>
      <c r="X21" s="301">
        <v>0.11780629785873979</v>
      </c>
      <c r="Y21" s="301"/>
      <c r="Z21" s="301">
        <v>104</v>
      </c>
      <c r="AA21" s="301"/>
      <c r="AB21" s="503">
        <v>43</v>
      </c>
      <c r="AC21" s="301"/>
      <c r="AD21" s="301">
        <v>0.2849268599374172</v>
      </c>
      <c r="AE21" s="301"/>
      <c r="AF21" s="301">
        <v>0.0027396813455520886</v>
      </c>
    </row>
    <row r="22" spans="1:32" ht="12.75">
      <c r="A22" s="13" t="s">
        <v>174</v>
      </c>
      <c r="B22" s="301">
        <v>26.014954522888424</v>
      </c>
      <c r="C22" s="301"/>
      <c r="D22" s="301">
        <v>26.666666666666664</v>
      </c>
      <c r="E22" s="301"/>
      <c r="F22" s="301">
        <v>19.077633316784844</v>
      </c>
      <c r="G22" s="301"/>
      <c r="H22" s="301">
        <v>6</v>
      </c>
      <c r="I22" s="301"/>
      <c r="J22" s="301">
        <v>17.932975317777753</v>
      </c>
      <c r="K22" s="301"/>
      <c r="L22" s="301">
        <v>0</v>
      </c>
      <c r="M22" s="301"/>
      <c r="N22" s="301">
        <v>10</v>
      </c>
      <c r="O22" s="301"/>
      <c r="P22" s="48">
        <f>0.01*37.96</f>
        <v>0.3796</v>
      </c>
      <c r="Q22" s="301"/>
      <c r="R22" s="301">
        <v>16.13967778599998</v>
      </c>
      <c r="S22" s="301"/>
      <c r="T22" s="301">
        <v>1.834054293863634</v>
      </c>
      <c r="U22" s="301"/>
      <c r="V22" s="301">
        <v>0.7074927248657525</v>
      </c>
      <c r="W22" s="301"/>
      <c r="X22" s="301">
        <v>20.057065003581652</v>
      </c>
      <c r="Y22" s="301"/>
      <c r="Z22" s="301">
        <v>114</v>
      </c>
      <c r="AA22" s="301"/>
      <c r="AB22" s="503">
        <v>248</v>
      </c>
      <c r="AC22" s="301"/>
      <c r="AD22" s="301">
        <v>9.219779880678661</v>
      </c>
      <c r="AE22" s="301"/>
      <c r="AF22" s="301">
        <v>0.08087526211121633</v>
      </c>
    </row>
    <row r="23" spans="1:35" ht="12.75">
      <c r="A23" s="228"/>
      <c r="B23" s="421">
        <f>SUM(B18:B22)</f>
        <v>47.46785615000414</v>
      </c>
      <c r="C23" s="421"/>
      <c r="D23" s="421"/>
      <c r="E23" s="421"/>
      <c r="F23" s="421"/>
      <c r="G23" s="421"/>
      <c r="H23" s="421"/>
      <c r="I23" s="421"/>
      <c r="J23" s="421"/>
      <c r="K23" s="421"/>
      <c r="L23" s="421"/>
      <c r="M23" s="421"/>
      <c r="N23" s="421"/>
      <c r="O23" s="421"/>
      <c r="P23" s="452">
        <f>1-(R23/B23)</f>
        <v>0.3856127911985703</v>
      </c>
      <c r="Q23" s="421"/>
      <c r="R23" s="421">
        <f>SUM(R18:R22)</f>
        <v>29.163643647788824</v>
      </c>
      <c r="S23" s="421">
        <f aca="true" t="shared" si="0" ref="S23:AE23">SUM(S18:S22)</f>
        <v>0</v>
      </c>
      <c r="T23" s="421">
        <f t="shared" si="0"/>
        <v>1.834054293863634</v>
      </c>
      <c r="U23" s="421">
        <f t="shared" si="0"/>
        <v>0</v>
      </c>
      <c r="V23" s="421">
        <f t="shared" si="0"/>
        <v>1.278406296889373</v>
      </c>
      <c r="W23" s="421">
        <f t="shared" si="0"/>
        <v>0</v>
      </c>
      <c r="X23" s="421">
        <f t="shared" si="0"/>
        <v>36.242179313665275</v>
      </c>
      <c r="Y23" s="421">
        <f t="shared" si="0"/>
        <v>0</v>
      </c>
      <c r="Z23" s="421">
        <f t="shared" si="0"/>
        <v>461.3</v>
      </c>
      <c r="AA23" s="421">
        <f t="shared" si="0"/>
        <v>0</v>
      </c>
      <c r="AB23" s="500"/>
      <c r="AC23" s="421">
        <f t="shared" si="0"/>
        <v>0</v>
      </c>
      <c r="AD23" s="421">
        <f t="shared" si="0"/>
        <v>17.524480095007835</v>
      </c>
      <c r="AE23" s="421">
        <f t="shared" si="0"/>
        <v>0</v>
      </c>
      <c r="AF23" s="421">
        <f>SUM(AF18:AF22)</f>
        <v>0.21014834558436601</v>
      </c>
      <c r="AH23" s="453">
        <f>B23/AF23</f>
        <v>225.87784842183174</v>
      </c>
      <c r="AI23" s="454">
        <f>AF23/B23</f>
        <v>0.004427171619469646</v>
      </c>
    </row>
    <row r="24" spans="1:32" ht="12.75">
      <c r="A24" s="13"/>
      <c r="B24" s="301"/>
      <c r="C24" s="301"/>
      <c r="D24" s="301"/>
      <c r="E24" s="301"/>
      <c r="F24" s="301"/>
      <c r="G24" s="301"/>
      <c r="H24" s="301"/>
      <c r="I24" s="301"/>
      <c r="J24" s="301"/>
      <c r="K24" s="301"/>
      <c r="L24" s="301"/>
      <c r="M24" s="301"/>
      <c r="N24" s="301"/>
      <c r="O24" s="301"/>
      <c r="P24" s="48"/>
      <c r="Q24" s="301"/>
      <c r="R24" s="301"/>
      <c r="S24" s="301"/>
      <c r="T24" s="301"/>
      <c r="U24" s="301"/>
      <c r="V24" s="301"/>
      <c r="W24" s="301"/>
      <c r="X24" s="301"/>
      <c r="Y24" s="301"/>
      <c r="Z24" s="301"/>
      <c r="AA24" s="301"/>
      <c r="AB24" s="503"/>
      <c r="AC24" s="301"/>
      <c r="AD24" s="301"/>
      <c r="AE24" s="301"/>
      <c r="AF24" s="301"/>
    </row>
    <row r="25" spans="1:32" ht="12.75">
      <c r="A25" s="8" t="s">
        <v>171</v>
      </c>
      <c r="B25" s="301"/>
      <c r="C25" s="301"/>
      <c r="D25" s="301"/>
      <c r="E25" s="301"/>
      <c r="F25" s="301"/>
      <c r="G25" s="301"/>
      <c r="H25" s="301"/>
      <c r="I25" s="301"/>
      <c r="J25" s="301"/>
      <c r="K25" s="301"/>
      <c r="L25" s="301"/>
      <c r="M25" s="301"/>
      <c r="N25" s="301"/>
      <c r="O25" s="301"/>
      <c r="P25" s="48"/>
      <c r="Q25" s="301"/>
      <c r="R25" s="301"/>
      <c r="S25" s="301"/>
      <c r="T25" s="301"/>
      <c r="U25" s="301"/>
      <c r="V25" s="301"/>
      <c r="W25" s="301"/>
      <c r="X25" s="301"/>
      <c r="Y25" s="301"/>
      <c r="Z25" s="301"/>
      <c r="AA25" s="301"/>
      <c r="AB25" s="503"/>
      <c r="AC25" s="301"/>
      <c r="AD25" s="301"/>
      <c r="AE25" s="301"/>
      <c r="AF25" s="301"/>
    </row>
    <row r="26" spans="1:32" ht="12.75">
      <c r="A26" s="13" t="s">
        <v>156</v>
      </c>
      <c r="B26" s="382">
        <v>0.8053338978481657</v>
      </c>
      <c r="C26" s="301"/>
      <c r="D26" s="301">
        <v>8</v>
      </c>
      <c r="E26" s="301"/>
      <c r="F26" s="301">
        <v>0.7409071860203124</v>
      </c>
      <c r="G26" s="301"/>
      <c r="H26" s="301">
        <v>5.246767404572406</v>
      </c>
      <c r="I26" s="301"/>
      <c r="J26" s="301">
        <v>0.702033509286064</v>
      </c>
      <c r="K26" s="301"/>
      <c r="L26" s="301">
        <v>5</v>
      </c>
      <c r="M26" s="301"/>
      <c r="N26" s="301">
        <v>8</v>
      </c>
      <c r="O26" s="301"/>
      <c r="P26" s="48">
        <f>0.01*24.1595126306198</f>
        <v>0.241595126306198</v>
      </c>
      <c r="Q26" s="301"/>
      <c r="R26" s="301">
        <v>0.6107691530788757</v>
      </c>
      <c r="S26" s="301"/>
      <c r="T26" s="301"/>
      <c r="U26" s="301"/>
      <c r="V26" s="301">
        <v>0.026773442326745233</v>
      </c>
      <c r="W26" s="301"/>
      <c r="X26" s="301">
        <v>0.7590137032420641</v>
      </c>
      <c r="Y26" s="301"/>
      <c r="Z26" s="301">
        <v>84</v>
      </c>
      <c r="AA26" s="301"/>
      <c r="AB26" s="503">
        <v>148</v>
      </c>
      <c r="AC26" s="301"/>
      <c r="AD26" s="301">
        <v>0.43079156129954993</v>
      </c>
      <c r="AE26" s="301"/>
      <c r="AF26" s="301">
        <v>0.005128470967851784</v>
      </c>
    </row>
    <row r="27" spans="1:32" ht="12.75">
      <c r="A27" s="13" t="s">
        <v>158</v>
      </c>
      <c r="B27" s="301">
        <v>1.7632073620218294</v>
      </c>
      <c r="C27" s="301"/>
      <c r="D27" s="301">
        <v>2.9126213592232997</v>
      </c>
      <c r="E27" s="301"/>
      <c r="F27" s="301">
        <v>1.7118518077881837</v>
      </c>
      <c r="G27" s="301"/>
      <c r="H27" s="301">
        <v>6</v>
      </c>
      <c r="I27" s="301"/>
      <c r="J27" s="301">
        <v>1.6091406993208928</v>
      </c>
      <c r="K27" s="301"/>
      <c r="L27" s="301">
        <v>0</v>
      </c>
      <c r="M27" s="301"/>
      <c r="N27" s="301">
        <v>29</v>
      </c>
      <c r="O27" s="301"/>
      <c r="P27" s="48">
        <f>0.01*35.2038834951456</f>
        <v>0.352038834951456</v>
      </c>
      <c r="Q27" s="301"/>
      <c r="R27" s="301">
        <v>1.142489896517834</v>
      </c>
      <c r="S27" s="301"/>
      <c r="T27" s="301"/>
      <c r="U27" s="301"/>
      <c r="V27" s="301">
        <v>0.050081748888452994</v>
      </c>
      <c r="W27" s="301"/>
      <c r="X27" s="301">
        <v>1.4197925401131979</v>
      </c>
      <c r="Y27" s="301"/>
      <c r="Z27" s="301">
        <v>79</v>
      </c>
      <c r="AA27" s="301"/>
      <c r="AB27" s="503">
        <v>155</v>
      </c>
      <c r="AC27" s="301"/>
      <c r="AD27" s="301">
        <v>0.7236361978641461</v>
      </c>
      <c r="AE27" s="301"/>
      <c r="AF27" s="301">
        <v>0.00915995187169805</v>
      </c>
    </row>
    <row r="28" spans="1:35" ht="12.75">
      <c r="A28" s="228"/>
      <c r="B28" s="421">
        <f>SUM(B26:B27)</f>
        <v>2.568541259869995</v>
      </c>
      <c r="C28" s="421"/>
      <c r="D28" s="421"/>
      <c r="E28" s="421"/>
      <c r="F28" s="421"/>
      <c r="G28" s="421"/>
      <c r="H28" s="421"/>
      <c r="I28" s="421"/>
      <c r="J28" s="421"/>
      <c r="K28" s="421"/>
      <c r="L28" s="421"/>
      <c r="M28" s="421"/>
      <c r="N28" s="421"/>
      <c r="O28" s="421"/>
      <c r="P28" s="422">
        <f>1-(R28/B28)</f>
        <v>0.3174105952709322</v>
      </c>
      <c r="Q28" s="421"/>
      <c r="R28" s="421">
        <f>SUM(R26:R27)</f>
        <v>1.7532590495967098</v>
      </c>
      <c r="S28" s="421">
        <f aca="true" t="shared" si="1" ref="S28:AF28">SUM(S26:S27)</f>
        <v>0</v>
      </c>
      <c r="T28" s="421">
        <f t="shared" si="1"/>
        <v>0</v>
      </c>
      <c r="U28" s="421">
        <f t="shared" si="1"/>
        <v>0</v>
      </c>
      <c r="V28" s="421">
        <f t="shared" si="1"/>
        <v>0.07685519121519822</v>
      </c>
      <c r="W28" s="421">
        <f t="shared" si="1"/>
        <v>0</v>
      </c>
      <c r="X28" s="421">
        <f t="shared" si="1"/>
        <v>2.178806243355262</v>
      </c>
      <c r="Y28" s="421">
        <f t="shared" si="1"/>
        <v>0</v>
      </c>
      <c r="Z28" s="421">
        <f t="shared" si="1"/>
        <v>163</v>
      </c>
      <c r="AA28" s="421">
        <f t="shared" si="1"/>
        <v>0</v>
      </c>
      <c r="AB28" s="500">
        <f t="shared" si="1"/>
        <v>303</v>
      </c>
      <c r="AC28" s="421">
        <f t="shared" si="1"/>
        <v>0</v>
      </c>
      <c r="AD28" s="421">
        <f t="shared" si="1"/>
        <v>1.154427759163696</v>
      </c>
      <c r="AE28" s="421">
        <f t="shared" si="1"/>
        <v>0</v>
      </c>
      <c r="AF28" s="421">
        <f t="shared" si="1"/>
        <v>0.014288422839549834</v>
      </c>
      <c r="AH28" s="455">
        <f>B28/AF28</f>
        <v>179.76380519481592</v>
      </c>
      <c r="AI28" s="454">
        <f>AF28/B28</f>
        <v>0.005562855097088467</v>
      </c>
    </row>
    <row r="29" spans="1:32" ht="12.75">
      <c r="A29" s="13"/>
      <c r="B29" s="301"/>
      <c r="C29" s="301"/>
      <c r="D29" s="301"/>
      <c r="E29" s="301"/>
      <c r="F29" s="301"/>
      <c r="G29" s="301"/>
      <c r="H29" s="301"/>
      <c r="I29" s="301"/>
      <c r="J29" s="301"/>
      <c r="K29" s="301"/>
      <c r="L29" s="301"/>
      <c r="M29" s="301"/>
      <c r="N29" s="301"/>
      <c r="O29" s="301"/>
      <c r="P29" s="48"/>
      <c r="Q29" s="301"/>
      <c r="R29" s="301"/>
      <c r="S29" s="301"/>
      <c r="T29" s="301"/>
      <c r="U29" s="301"/>
      <c r="V29" s="301"/>
      <c r="W29" s="301"/>
      <c r="X29" s="301"/>
      <c r="Y29" s="301"/>
      <c r="Z29" s="301"/>
      <c r="AA29" s="301"/>
      <c r="AB29" s="503"/>
      <c r="AC29" s="301"/>
      <c r="AD29" s="301"/>
      <c r="AE29" s="301"/>
      <c r="AF29" s="301"/>
    </row>
    <row r="30" spans="1:32" ht="12.75">
      <c r="A30" s="8" t="s">
        <v>172</v>
      </c>
      <c r="B30" s="301"/>
      <c r="C30" s="301"/>
      <c r="D30" s="301"/>
      <c r="E30" s="301"/>
      <c r="F30" s="301"/>
      <c r="G30" s="301"/>
      <c r="H30" s="301"/>
      <c r="I30" s="301"/>
      <c r="J30" s="301"/>
      <c r="K30" s="301"/>
      <c r="L30" s="301"/>
      <c r="M30" s="301"/>
      <c r="N30" s="301"/>
      <c r="O30" s="301"/>
      <c r="P30" s="48"/>
      <c r="Q30" s="301"/>
      <c r="R30" s="301"/>
      <c r="S30" s="301"/>
      <c r="T30" s="301"/>
      <c r="U30" s="301"/>
      <c r="V30" s="301"/>
      <c r="W30" s="301"/>
      <c r="X30" s="301"/>
      <c r="Y30" s="301"/>
      <c r="Z30" s="301"/>
      <c r="AA30" s="301"/>
      <c r="AB30" s="503"/>
      <c r="AC30" s="301"/>
      <c r="AD30" s="301"/>
      <c r="AE30" s="301"/>
      <c r="AF30" s="301"/>
    </row>
    <row r="31" spans="1:32" ht="12.75">
      <c r="A31" s="13" t="s">
        <v>156</v>
      </c>
      <c r="B31" s="382">
        <v>0.08874573851238844</v>
      </c>
      <c r="C31" s="301"/>
      <c r="D31" s="301">
        <v>4</v>
      </c>
      <c r="E31" s="301"/>
      <c r="F31" s="301">
        <v>0.08519590897189289</v>
      </c>
      <c r="G31" s="301"/>
      <c r="H31" s="301">
        <v>5.971997107778945</v>
      </c>
      <c r="I31" s="301"/>
      <c r="J31" s="301">
        <v>0.08010801175214546</v>
      </c>
      <c r="K31" s="301"/>
      <c r="L31" s="301">
        <v>2</v>
      </c>
      <c r="M31" s="301"/>
      <c r="N31" s="301">
        <v>26</v>
      </c>
      <c r="O31" s="301"/>
      <c r="P31" s="48">
        <f>0.01*35.0078444008968</f>
        <v>0.35007844400896804</v>
      </c>
      <c r="Q31" s="301"/>
      <c r="R31" s="301">
        <v>0.05767776846154473</v>
      </c>
      <c r="S31" s="301"/>
      <c r="T31" s="301"/>
      <c r="U31" s="301"/>
      <c r="V31" s="301">
        <v>0.0025283405353005908</v>
      </c>
      <c r="W31" s="301"/>
      <c r="X31" s="301">
        <v>0.07167719000550411</v>
      </c>
      <c r="Y31" s="301"/>
      <c r="Z31" s="301">
        <v>51</v>
      </c>
      <c r="AA31" s="301"/>
      <c r="AB31" s="503">
        <v>110</v>
      </c>
      <c r="AC31" s="301"/>
      <c r="AD31" s="301">
        <v>0.033232151729824626</v>
      </c>
      <c r="AE31" s="301"/>
      <c r="AF31" s="301">
        <v>0.0006516108182318555</v>
      </c>
    </row>
    <row r="32" spans="1:32" ht="12.75">
      <c r="A32" s="13" t="s">
        <v>174</v>
      </c>
      <c r="B32" s="301">
        <v>2.2260318365892546</v>
      </c>
      <c r="C32" s="301"/>
      <c r="D32" s="301">
        <v>3.199999999999989</v>
      </c>
      <c r="E32" s="301"/>
      <c r="F32" s="301">
        <v>2.1547988178183983</v>
      </c>
      <c r="G32" s="301"/>
      <c r="H32" s="301">
        <v>6</v>
      </c>
      <c r="I32" s="301"/>
      <c r="J32" s="301">
        <v>2.0255108887492943</v>
      </c>
      <c r="K32" s="301"/>
      <c r="L32" s="301">
        <v>0</v>
      </c>
      <c r="M32" s="301"/>
      <c r="N32" s="301">
        <v>10</v>
      </c>
      <c r="O32" s="301"/>
      <c r="P32" s="48">
        <f>0.01*18.1072</f>
        <v>0.18107199999999998</v>
      </c>
      <c r="Q32" s="301"/>
      <c r="R32" s="301">
        <v>1.822959799874365</v>
      </c>
      <c r="S32" s="301"/>
      <c r="T32" s="301">
        <v>0.207154522712996</v>
      </c>
      <c r="U32" s="301"/>
      <c r="V32" s="301">
        <v>0.07991056656983518</v>
      </c>
      <c r="W32" s="301"/>
      <c r="X32" s="301">
        <v>2.2654246069715422</v>
      </c>
      <c r="Y32" s="301"/>
      <c r="Z32" s="301">
        <v>116</v>
      </c>
      <c r="AA32" s="301"/>
      <c r="AB32" s="503">
        <v>253</v>
      </c>
      <c r="AC32" s="301"/>
      <c r="AD32" s="301">
        <v>1.0386927051727228</v>
      </c>
      <c r="AE32" s="301"/>
      <c r="AF32" s="301">
        <v>0.008954247458385542</v>
      </c>
    </row>
    <row r="33" spans="1:35" ht="12.75">
      <c r="A33" s="228"/>
      <c r="B33" s="421">
        <f>SUM(B31:B32)</f>
        <v>2.314777575101643</v>
      </c>
      <c r="C33" s="421"/>
      <c r="D33" s="421"/>
      <c r="E33" s="421"/>
      <c r="F33" s="421"/>
      <c r="G33" s="421"/>
      <c r="H33" s="421"/>
      <c r="I33" s="421"/>
      <c r="J33" s="421"/>
      <c r="K33" s="421"/>
      <c r="L33" s="421"/>
      <c r="M33" s="421"/>
      <c r="N33" s="421"/>
      <c r="O33" s="421"/>
      <c r="P33" s="422">
        <f>1-(R33/B33)</f>
        <v>0.18755150016807554</v>
      </c>
      <c r="Q33" s="421"/>
      <c r="R33" s="421">
        <f aca="true" t="shared" si="2" ref="R33:AF33">SUM(R31:R32)</f>
        <v>1.8806375683359098</v>
      </c>
      <c r="S33" s="421">
        <f t="shared" si="2"/>
        <v>0</v>
      </c>
      <c r="T33" s="421">
        <f t="shared" si="2"/>
        <v>0.207154522712996</v>
      </c>
      <c r="U33" s="421">
        <f t="shared" si="2"/>
        <v>0</v>
      </c>
      <c r="V33" s="421">
        <f t="shared" si="2"/>
        <v>0.08243890710513577</v>
      </c>
      <c r="W33" s="421">
        <f t="shared" si="2"/>
        <v>0</v>
      </c>
      <c r="X33" s="421">
        <f t="shared" si="2"/>
        <v>2.3371017969770462</v>
      </c>
      <c r="Y33" s="421">
        <f t="shared" si="2"/>
        <v>0</v>
      </c>
      <c r="Z33" s="421">
        <f t="shared" si="2"/>
        <v>167</v>
      </c>
      <c r="AA33" s="421">
        <f t="shared" si="2"/>
        <v>0</v>
      </c>
      <c r="AB33" s="500">
        <f t="shared" si="2"/>
        <v>363</v>
      </c>
      <c r="AC33" s="421">
        <f t="shared" si="2"/>
        <v>0</v>
      </c>
      <c r="AD33" s="421">
        <f t="shared" si="2"/>
        <v>1.0719248569025475</v>
      </c>
      <c r="AE33" s="421">
        <f t="shared" si="2"/>
        <v>0</v>
      </c>
      <c r="AF33" s="421">
        <f t="shared" si="2"/>
        <v>0.009605858276617397</v>
      </c>
      <c r="AH33" s="453">
        <f>B33/AF33</f>
        <v>240.97561180308895</v>
      </c>
      <c r="AI33" s="454">
        <f>AF33/B33</f>
        <v>0.0041497975355993325</v>
      </c>
    </row>
    <row r="34" spans="2:32" ht="12.75">
      <c r="B34" s="301"/>
      <c r="C34" s="301"/>
      <c r="D34" s="301"/>
      <c r="E34" s="301"/>
      <c r="F34" s="301"/>
      <c r="G34" s="301"/>
      <c r="H34" s="301"/>
      <c r="I34" s="301"/>
      <c r="J34" s="301"/>
      <c r="K34" s="301"/>
      <c r="L34" s="301"/>
      <c r="M34" s="301"/>
      <c r="N34" s="301"/>
      <c r="O34" s="301"/>
      <c r="P34" s="48"/>
      <c r="Q34" s="301"/>
      <c r="R34" s="301"/>
      <c r="S34" s="301"/>
      <c r="T34" s="301"/>
      <c r="U34" s="301"/>
      <c r="V34" s="301"/>
      <c r="W34" s="301"/>
      <c r="X34" s="301"/>
      <c r="Y34" s="301"/>
      <c r="Z34" s="301"/>
      <c r="AA34" s="301"/>
      <c r="AB34" s="503"/>
      <c r="AC34" s="301"/>
      <c r="AD34" s="301"/>
      <c r="AE34" s="301"/>
      <c r="AF34" s="301"/>
    </row>
    <row r="35" spans="1:32" ht="12.75">
      <c r="A35" s="8" t="s">
        <v>173</v>
      </c>
      <c r="B35" s="301"/>
      <c r="C35" s="301"/>
      <c r="D35" s="301"/>
      <c r="E35" s="301"/>
      <c r="F35" s="301"/>
      <c r="G35" s="301"/>
      <c r="H35" s="301"/>
      <c r="I35" s="301"/>
      <c r="J35" s="301"/>
      <c r="K35" s="301"/>
      <c r="L35" s="301"/>
      <c r="M35" s="301"/>
      <c r="N35" s="301"/>
      <c r="O35" s="301"/>
      <c r="P35" s="48"/>
      <c r="Q35" s="301"/>
      <c r="R35" s="301"/>
      <c r="S35" s="301"/>
      <c r="T35" s="301"/>
      <c r="U35" s="301"/>
      <c r="V35" s="301"/>
      <c r="W35" s="301"/>
      <c r="X35" s="301"/>
      <c r="Y35" s="301"/>
      <c r="Z35" s="301"/>
      <c r="AA35" s="301"/>
      <c r="AB35" s="503"/>
      <c r="AC35" s="301"/>
      <c r="AD35" s="301"/>
      <c r="AE35" s="301"/>
      <c r="AF35" s="301"/>
    </row>
    <row r="36" spans="1:32" ht="12.75">
      <c r="A36" s="13" t="s">
        <v>156</v>
      </c>
      <c r="B36" s="301">
        <v>8.046972540727655</v>
      </c>
      <c r="C36" s="301"/>
      <c r="D36" s="301">
        <v>9</v>
      </c>
      <c r="E36" s="301"/>
      <c r="F36" s="301">
        <v>7.322745012062166</v>
      </c>
      <c r="G36" s="301"/>
      <c r="H36" s="301">
        <v>7.584522135785493</v>
      </c>
      <c r="I36" s="301"/>
      <c r="J36" s="301">
        <v>6.767349795675183</v>
      </c>
      <c r="K36" s="301"/>
      <c r="L36" s="301">
        <v>4</v>
      </c>
      <c r="M36" s="301"/>
      <c r="N36" s="301">
        <v>33</v>
      </c>
      <c r="O36" s="301"/>
      <c r="P36" s="48">
        <f>0.01*47.0182065404458</f>
        <v>0.47018206540445806</v>
      </c>
      <c r="Q36" s="301"/>
      <c r="R36" s="301">
        <v>4.263430371275365</v>
      </c>
      <c r="S36" s="301"/>
      <c r="T36" s="301"/>
      <c r="U36" s="301"/>
      <c r="V36" s="301">
        <v>0.18689009846686533</v>
      </c>
      <c r="W36" s="301"/>
      <c r="X36" s="301">
        <v>5.298240846486398</v>
      </c>
      <c r="Y36" s="301"/>
      <c r="Z36" s="301">
        <v>106</v>
      </c>
      <c r="AA36" s="301"/>
      <c r="AB36" s="503">
        <v>153.9</v>
      </c>
      <c r="AC36" s="301"/>
      <c r="AD36" s="301">
        <v>3.649210719477311</v>
      </c>
      <c r="AE36" s="301"/>
      <c r="AF36" s="301">
        <v>0.03442651622148407</v>
      </c>
    </row>
    <row r="37" spans="1:32" ht="12.75">
      <c r="A37" s="13" t="s">
        <v>174</v>
      </c>
      <c r="B37" s="301">
        <v>4.815096380581588</v>
      </c>
      <c r="C37" s="301"/>
      <c r="D37" s="301">
        <v>19.09090909090908</v>
      </c>
      <c r="E37" s="301"/>
      <c r="F37" s="301">
        <v>3.895850707925103</v>
      </c>
      <c r="G37" s="301"/>
      <c r="H37" s="301">
        <v>6</v>
      </c>
      <c r="I37" s="301"/>
      <c r="J37" s="301">
        <v>3.6620996654495976</v>
      </c>
      <c r="K37" s="301"/>
      <c r="L37" s="301">
        <v>0</v>
      </c>
      <c r="M37" s="301"/>
      <c r="N37" s="301">
        <v>10</v>
      </c>
      <c r="O37" s="301"/>
      <c r="P37" s="48">
        <f>0.01*31.5509090909091</f>
        <v>0.315509090909091</v>
      </c>
      <c r="Q37" s="301"/>
      <c r="R37" s="301">
        <v>3.295889698904638</v>
      </c>
      <c r="S37" s="301"/>
      <c r="T37" s="301">
        <v>0.370324685270184</v>
      </c>
      <c r="U37" s="301"/>
      <c r="V37" s="301">
        <v>0.14447735666431288</v>
      </c>
      <c r="W37" s="301"/>
      <c r="X37" s="301">
        <v>4.095860822754938</v>
      </c>
      <c r="Y37" s="301"/>
      <c r="Z37" s="301">
        <v>152</v>
      </c>
      <c r="AA37" s="301"/>
      <c r="AB37" s="503">
        <v>253</v>
      </c>
      <c r="AC37" s="301"/>
      <c r="AD37" s="301">
        <v>2.4607543282954567</v>
      </c>
      <c r="AE37" s="301"/>
      <c r="AF37" s="301">
        <v>0.01618917321247011</v>
      </c>
    </row>
    <row r="38" spans="1:35" ht="12.75">
      <c r="A38" s="228"/>
      <c r="B38" s="421">
        <f>SUM(B36:B37)</f>
        <v>12.862068921309243</v>
      </c>
      <c r="C38" s="421"/>
      <c r="D38" s="421"/>
      <c r="E38" s="421"/>
      <c r="F38" s="421"/>
      <c r="G38" s="421"/>
      <c r="H38" s="421"/>
      <c r="I38" s="421"/>
      <c r="J38" s="421"/>
      <c r="K38" s="421"/>
      <c r="L38" s="421"/>
      <c r="M38" s="421"/>
      <c r="N38" s="421"/>
      <c r="O38" s="421"/>
      <c r="P38" s="422">
        <f>1-(R38/B38)</f>
        <v>0.4122780622286907</v>
      </c>
      <c r="Q38" s="421"/>
      <c r="R38" s="421">
        <f aca="true" t="shared" si="3" ref="R38:AF38">SUM(R36:R37)</f>
        <v>7.559320070180003</v>
      </c>
      <c r="S38" s="421">
        <f t="shared" si="3"/>
        <v>0</v>
      </c>
      <c r="T38" s="421">
        <f t="shared" si="3"/>
        <v>0.370324685270184</v>
      </c>
      <c r="U38" s="421">
        <f t="shared" si="3"/>
        <v>0</v>
      </c>
      <c r="V38" s="421">
        <f t="shared" si="3"/>
        <v>0.3313674551311782</v>
      </c>
      <c r="W38" s="421">
        <f t="shared" si="3"/>
        <v>0</v>
      </c>
      <c r="X38" s="421">
        <f t="shared" si="3"/>
        <v>9.394101669241337</v>
      </c>
      <c r="Y38" s="421">
        <f t="shared" si="3"/>
        <v>0</v>
      </c>
      <c r="Z38" s="421">
        <f t="shared" si="3"/>
        <v>258</v>
      </c>
      <c r="AA38" s="421">
        <f t="shared" si="3"/>
        <v>0</v>
      </c>
      <c r="AB38" s="500">
        <f t="shared" si="3"/>
        <v>406.9</v>
      </c>
      <c r="AC38" s="421">
        <f t="shared" si="3"/>
        <v>0</v>
      </c>
      <c r="AD38" s="421">
        <f t="shared" si="3"/>
        <v>6.109965047772768</v>
      </c>
      <c r="AE38" s="421">
        <f t="shared" si="3"/>
        <v>0</v>
      </c>
      <c r="AF38" s="421">
        <f t="shared" si="3"/>
        <v>0.050615689433954184</v>
      </c>
      <c r="AH38" s="453">
        <f>B38/AF38</f>
        <v>254.11229334517506</v>
      </c>
      <c r="AI38" s="454">
        <f>AF38/B38</f>
        <v>0.003935268092841316</v>
      </c>
    </row>
    <row r="39" spans="2:32" ht="12.75">
      <c r="B39" s="301"/>
      <c r="C39" s="301"/>
      <c r="D39" s="301"/>
      <c r="E39" s="301"/>
      <c r="F39" s="301"/>
      <c r="G39" s="301"/>
      <c r="H39" s="301"/>
      <c r="I39" s="301"/>
      <c r="J39" s="301"/>
      <c r="K39" s="301"/>
      <c r="L39" s="301"/>
      <c r="M39" s="301"/>
      <c r="N39" s="301"/>
      <c r="O39" s="301"/>
      <c r="P39" s="48"/>
      <c r="Q39" s="301"/>
      <c r="R39" s="301"/>
      <c r="S39" s="301"/>
      <c r="T39" s="301"/>
      <c r="U39" s="301"/>
      <c r="V39" s="301"/>
      <c r="W39" s="301"/>
      <c r="X39" s="301"/>
      <c r="Y39" s="301"/>
      <c r="Z39" s="301"/>
      <c r="AA39" s="301"/>
      <c r="AB39" s="503"/>
      <c r="AC39" s="301"/>
      <c r="AD39" s="301"/>
      <c r="AE39" s="301"/>
      <c r="AF39" s="301"/>
    </row>
    <row r="40" spans="1:32" ht="12.75">
      <c r="A40" s="8" t="s">
        <v>207</v>
      </c>
      <c r="B40" s="301"/>
      <c r="C40" s="301"/>
      <c r="D40" s="301"/>
      <c r="E40" s="301"/>
      <c r="F40" s="301"/>
      <c r="G40" s="301"/>
      <c r="H40" s="301"/>
      <c r="I40" s="301"/>
      <c r="J40" s="301"/>
      <c r="K40" s="301"/>
      <c r="L40" s="301"/>
      <c r="M40" s="301"/>
      <c r="N40" s="301"/>
      <c r="O40" s="301"/>
      <c r="P40" s="48"/>
      <c r="Q40" s="301"/>
      <c r="R40" s="301"/>
      <c r="S40" s="301"/>
      <c r="T40" s="301"/>
      <c r="U40" s="301"/>
      <c r="V40" s="301"/>
      <c r="W40" s="301"/>
      <c r="X40" s="301"/>
      <c r="Y40" s="301"/>
      <c r="Z40" s="301"/>
      <c r="AA40" s="301"/>
      <c r="AB40" s="503"/>
      <c r="AC40" s="301"/>
      <c r="AD40" s="301"/>
      <c r="AE40" s="301"/>
      <c r="AF40" s="301"/>
    </row>
    <row r="41" spans="1:32" ht="12.75">
      <c r="A41" s="13" t="s">
        <v>156</v>
      </c>
      <c r="B41" s="301">
        <v>4.653683037397317</v>
      </c>
      <c r="C41" s="301"/>
      <c r="D41" s="301">
        <v>5</v>
      </c>
      <c r="E41" s="301"/>
      <c r="F41" s="301">
        <v>4.420998885527451</v>
      </c>
      <c r="G41" s="301"/>
      <c r="H41" s="301">
        <v>11.910544877832084</v>
      </c>
      <c r="I41" s="301"/>
      <c r="J41" s="301">
        <v>3.894433829218248</v>
      </c>
      <c r="K41" s="301"/>
      <c r="L41" s="301">
        <v>7</v>
      </c>
      <c r="M41" s="301"/>
      <c r="N41" s="301">
        <v>42</v>
      </c>
      <c r="O41" s="301"/>
      <c r="P41" s="48">
        <f>0.01*57.3206589933096</f>
        <v>0.573206589933096</v>
      </c>
      <c r="Q41" s="301"/>
      <c r="R41" s="301">
        <v>1.9861612529013066</v>
      </c>
      <c r="S41" s="301"/>
      <c r="T41" s="301"/>
      <c r="U41" s="301"/>
      <c r="V41" s="301">
        <v>0.08706460286690657</v>
      </c>
      <c r="W41" s="301"/>
      <c r="X41" s="301">
        <v>2.468237958975368</v>
      </c>
      <c r="Y41" s="301"/>
      <c r="Z41" s="301">
        <v>63.5</v>
      </c>
      <c r="AA41" s="301"/>
      <c r="AB41" s="503">
        <v>153.5</v>
      </c>
      <c r="AC41" s="301"/>
      <c r="AD41" s="301">
        <v>1.0210626084360643</v>
      </c>
      <c r="AE41" s="301"/>
      <c r="AF41" s="301">
        <v>0.016079726117103375</v>
      </c>
    </row>
    <row r="42" spans="1:32" ht="12.75">
      <c r="A42" s="13" t="s">
        <v>157</v>
      </c>
      <c r="B42" s="301">
        <v>3.1422988980151247</v>
      </c>
      <c r="C42" s="301"/>
      <c r="D42" s="301">
        <v>16.666666666666664</v>
      </c>
      <c r="E42" s="301"/>
      <c r="F42" s="301">
        <v>2.618582415012604</v>
      </c>
      <c r="G42" s="301"/>
      <c r="H42" s="301">
        <v>6</v>
      </c>
      <c r="I42" s="301"/>
      <c r="J42" s="301">
        <v>2.4614674701118475</v>
      </c>
      <c r="K42" s="301"/>
      <c r="L42" s="301">
        <v>0</v>
      </c>
      <c r="M42" s="301"/>
      <c r="N42" s="301">
        <v>9</v>
      </c>
      <c r="O42" s="301"/>
      <c r="P42" s="48">
        <f>0.01*28.7166666666667</f>
        <v>0.287166666666667</v>
      </c>
      <c r="Q42" s="301"/>
      <c r="R42" s="301">
        <v>2.239935397801781</v>
      </c>
      <c r="S42" s="301"/>
      <c r="T42" s="301"/>
      <c r="U42" s="301"/>
      <c r="V42" s="301">
        <v>0.09818894894473562</v>
      </c>
      <c r="W42" s="301"/>
      <c r="X42" s="301">
        <v>2.783607608108782</v>
      </c>
      <c r="Y42" s="301"/>
      <c r="Z42" s="301">
        <v>59</v>
      </c>
      <c r="AA42" s="301"/>
      <c r="AB42" s="503">
        <v>244</v>
      </c>
      <c r="AC42" s="301"/>
      <c r="AD42" s="301">
        <v>0.6730854462230251</v>
      </c>
      <c r="AE42" s="301"/>
      <c r="AF42" s="301">
        <v>0.011408227902085174</v>
      </c>
    </row>
    <row r="43" spans="1:32" ht="12.75">
      <c r="A43" s="19" t="s">
        <v>158</v>
      </c>
      <c r="B43" s="301">
        <v>0.7131060901390649</v>
      </c>
      <c r="C43" s="301"/>
      <c r="D43" s="301">
        <v>19.999999999999996</v>
      </c>
      <c r="E43" s="301"/>
      <c r="F43" s="301">
        <v>0.5704848721112521</v>
      </c>
      <c r="G43" s="301"/>
      <c r="H43" s="301">
        <v>6</v>
      </c>
      <c r="I43" s="301"/>
      <c r="J43" s="301">
        <v>0.5362557797845768</v>
      </c>
      <c r="K43" s="301"/>
      <c r="L43" s="301">
        <v>0</v>
      </c>
      <c r="M43" s="301"/>
      <c r="N43" s="301">
        <v>35</v>
      </c>
      <c r="O43" s="301"/>
      <c r="P43" s="48">
        <f>0.01*51.12</f>
        <v>0.5112</v>
      </c>
      <c r="Q43" s="301"/>
      <c r="R43" s="301">
        <v>0.348566256859975</v>
      </c>
      <c r="S43" s="301"/>
      <c r="T43" s="301"/>
      <c r="U43" s="301"/>
      <c r="V43" s="301">
        <v>0.015279616739067397</v>
      </c>
      <c r="W43" s="301"/>
      <c r="X43" s="301">
        <v>0.43316949474419114</v>
      </c>
      <c r="Y43" s="301"/>
      <c r="Z43" s="301">
        <v>83</v>
      </c>
      <c r="AA43" s="301"/>
      <c r="AB43" s="503">
        <v>173</v>
      </c>
      <c r="AC43" s="301"/>
      <c r="AD43" s="301">
        <v>0.20782120268073911</v>
      </c>
      <c r="AE43" s="301"/>
      <c r="AF43" s="301">
        <v>0.002503869911816134</v>
      </c>
    </row>
    <row r="44" spans="1:32" ht="12.75">
      <c r="A44" s="13" t="s">
        <v>167</v>
      </c>
      <c r="B44" s="301">
        <v>0.24817624597340876</v>
      </c>
      <c r="C44" s="301"/>
      <c r="D44" s="301">
        <v>83.37489609310057</v>
      </c>
      <c r="E44" s="301"/>
      <c r="F44" s="301">
        <v>0.041259558765321516</v>
      </c>
      <c r="G44" s="301"/>
      <c r="H44" s="301">
        <v>6</v>
      </c>
      <c r="I44" s="301"/>
      <c r="J44" s="301">
        <v>0.03878398523940222</v>
      </c>
      <c r="K44" s="301"/>
      <c r="L44" s="301">
        <v>0</v>
      </c>
      <c r="M44" s="301"/>
      <c r="N44" s="301">
        <v>11</v>
      </c>
      <c r="O44" s="301"/>
      <c r="P44" s="48">
        <f>0.01*86.0914380714879</f>
        <v>0.860914380714879</v>
      </c>
      <c r="Q44" s="301"/>
      <c r="R44" s="301">
        <v>0.03451774686306798</v>
      </c>
      <c r="S44" s="301"/>
      <c r="T44" s="301"/>
      <c r="U44" s="301"/>
      <c r="V44" s="301">
        <v>0.0015131067118057198</v>
      </c>
      <c r="W44" s="301"/>
      <c r="X44" s="301">
        <v>0.04289581872633625</v>
      </c>
      <c r="Y44" s="301"/>
      <c r="Z44" s="301">
        <v>191</v>
      </c>
      <c r="AA44" s="301"/>
      <c r="AB44" s="503">
        <v>80</v>
      </c>
      <c r="AC44" s="301"/>
      <c r="AD44" s="301">
        <v>0.10241376720912779</v>
      </c>
      <c r="AE44" s="301"/>
      <c r="AF44" s="301">
        <v>0.000536197734079203</v>
      </c>
    </row>
    <row r="45" spans="1:35" ht="12.75">
      <c r="A45" s="228"/>
      <c r="B45" s="421">
        <f>SUM(B41:B44)</f>
        <v>8.757264271524916</v>
      </c>
      <c r="C45" s="421"/>
      <c r="D45" s="421"/>
      <c r="E45" s="421"/>
      <c r="F45" s="421"/>
      <c r="G45" s="421"/>
      <c r="H45" s="421"/>
      <c r="I45" s="421"/>
      <c r="J45" s="421"/>
      <c r="K45" s="421"/>
      <c r="L45" s="421"/>
      <c r="M45" s="421"/>
      <c r="N45" s="421"/>
      <c r="O45" s="421"/>
      <c r="P45" s="422">
        <f>1-(R45/B45)</f>
        <v>0.47367345423007</v>
      </c>
      <c r="Q45" s="421"/>
      <c r="R45" s="421">
        <f>SUM(R41:R44)</f>
        <v>4.609180654426131</v>
      </c>
      <c r="S45" s="421">
        <f>SUM(S43:S44)</f>
        <v>0</v>
      </c>
      <c r="T45" s="421">
        <f>SUM(T43:T44)</f>
        <v>0</v>
      </c>
      <c r="U45" s="421">
        <f>SUM(U43:U44)</f>
        <v>0</v>
      </c>
      <c r="V45" s="421">
        <f>SUM(V41:V44)</f>
        <v>0.20204627526251528</v>
      </c>
      <c r="W45" s="421">
        <f>SUM(W43:W44)</f>
        <v>0</v>
      </c>
      <c r="X45" s="421">
        <f>SUM(X41:X44)</f>
        <v>5.727910880554677</v>
      </c>
      <c r="Y45" s="421">
        <f>SUM(Y43:Y44)</f>
        <v>0</v>
      </c>
      <c r="Z45" s="421">
        <f>SUM(Z43:Z44)</f>
        <v>274</v>
      </c>
      <c r="AA45" s="421">
        <f>SUM(AA43:AA44)</f>
        <v>0</v>
      </c>
      <c r="AB45" s="500">
        <f>SUM(AB43:AB44)</f>
        <v>253</v>
      </c>
      <c r="AC45" s="421">
        <f>SUM(AC43:AC44)</f>
        <v>0</v>
      </c>
      <c r="AD45" s="421">
        <f>SUM(AD41:AD44)</f>
        <v>2.0043830245489564</v>
      </c>
      <c r="AE45" s="421">
        <f>SUM(AE43:AE44)</f>
        <v>0</v>
      </c>
      <c r="AF45" s="421">
        <f>SUM(AF41:AF44)</f>
        <v>0.030528021665083886</v>
      </c>
      <c r="AH45" s="453">
        <f>B45/AF45</f>
        <v>286.8598682089166</v>
      </c>
      <c r="AI45" s="454">
        <f>AF45/B45</f>
        <v>0.0034860226571383343</v>
      </c>
    </row>
    <row r="46" spans="1:32" ht="12.75">
      <c r="A46" s="13"/>
      <c r="B46" s="301"/>
      <c r="C46" s="301"/>
      <c r="D46" s="301"/>
      <c r="E46" s="301"/>
      <c r="F46" s="301"/>
      <c r="G46" s="301"/>
      <c r="H46" s="301"/>
      <c r="I46" s="301"/>
      <c r="J46" s="301"/>
      <c r="K46" s="301"/>
      <c r="L46" s="301"/>
      <c r="M46" s="301"/>
      <c r="N46" s="301"/>
      <c r="O46" s="301"/>
      <c r="P46" s="48"/>
      <c r="Q46" s="301"/>
      <c r="R46" s="301"/>
      <c r="S46" s="301"/>
      <c r="T46" s="301"/>
      <c r="U46" s="301"/>
      <c r="V46" s="301"/>
      <c r="W46" s="301"/>
      <c r="X46" s="301"/>
      <c r="Y46" s="301"/>
      <c r="Z46" s="301"/>
      <c r="AA46" s="301"/>
      <c r="AB46" s="503"/>
      <c r="AC46" s="301"/>
      <c r="AD46" s="301"/>
      <c r="AE46" s="301"/>
      <c r="AF46" s="301"/>
    </row>
    <row r="47" spans="1:32" ht="12.75">
      <c r="A47" s="8" t="s">
        <v>175</v>
      </c>
      <c r="B47" s="301"/>
      <c r="C47" s="301"/>
      <c r="D47" s="301"/>
      <c r="E47" s="301"/>
      <c r="F47" s="301"/>
      <c r="G47" s="301"/>
      <c r="H47" s="301"/>
      <c r="I47" s="301"/>
      <c r="J47" s="301"/>
      <c r="K47" s="301"/>
      <c r="L47" s="301"/>
      <c r="M47" s="301"/>
      <c r="N47" s="301"/>
      <c r="O47" s="301"/>
      <c r="P47" s="48"/>
      <c r="Q47" s="301"/>
      <c r="R47" s="301"/>
      <c r="S47" s="301"/>
      <c r="T47" s="301"/>
      <c r="U47" s="301"/>
      <c r="V47" s="301"/>
      <c r="W47" s="301"/>
      <c r="X47" s="301"/>
      <c r="Y47" s="301"/>
      <c r="Z47" s="301"/>
      <c r="AA47" s="301"/>
      <c r="AB47" s="503"/>
      <c r="AC47" s="301"/>
      <c r="AD47" s="301"/>
      <c r="AE47" s="301"/>
      <c r="AF47" s="301"/>
    </row>
    <row r="48" spans="1:32" ht="12.75">
      <c r="A48" s="13" t="s">
        <v>156</v>
      </c>
      <c r="B48" s="301">
        <v>3.0931657582696688</v>
      </c>
      <c r="C48" s="301"/>
      <c r="D48" s="301">
        <v>5</v>
      </c>
      <c r="E48" s="301"/>
      <c r="F48" s="301">
        <v>2.938507470356185</v>
      </c>
      <c r="G48" s="301"/>
      <c r="H48" s="301">
        <v>17.578948639861824</v>
      </c>
      <c r="I48" s="301"/>
      <c r="J48" s="301">
        <v>2.4219487513637685</v>
      </c>
      <c r="K48" s="301"/>
      <c r="L48" s="301">
        <v>10</v>
      </c>
      <c r="M48" s="301"/>
      <c r="N48" s="301">
        <v>20</v>
      </c>
      <c r="O48" s="301"/>
      <c r="P48" s="48">
        <f>0.01*45.1900008455081</f>
        <v>0.45190000845508105</v>
      </c>
      <c r="Q48" s="301"/>
      <c r="R48" s="301">
        <v>1.695364125954638</v>
      </c>
      <c r="S48" s="301"/>
      <c r="T48" s="301"/>
      <c r="U48" s="301"/>
      <c r="V48" s="301">
        <v>0.07431733154869646</v>
      </c>
      <c r="W48" s="301"/>
      <c r="X48" s="301">
        <v>2.1068591907397702</v>
      </c>
      <c r="Y48" s="301"/>
      <c r="Z48" s="301">
        <v>92.3</v>
      </c>
      <c r="AA48" s="301"/>
      <c r="AB48" s="503">
        <v>159.7</v>
      </c>
      <c r="AC48" s="301"/>
      <c r="AD48" s="301">
        <v>1.217677541047469</v>
      </c>
      <c r="AE48" s="301"/>
      <c r="AF48" s="301">
        <v>0.013192606078520791</v>
      </c>
    </row>
    <row r="49" spans="1:32" ht="12.75">
      <c r="A49" s="13" t="s">
        <v>157</v>
      </c>
      <c r="B49" s="301">
        <v>2.2661885671413966</v>
      </c>
      <c r="C49" s="301"/>
      <c r="D49" s="301">
        <v>0</v>
      </c>
      <c r="E49" s="301"/>
      <c r="F49" s="301">
        <v>2.2661885671413966</v>
      </c>
      <c r="G49" s="301"/>
      <c r="H49" s="301">
        <v>6</v>
      </c>
      <c r="I49" s="301"/>
      <c r="J49" s="301">
        <v>2.130217253112913</v>
      </c>
      <c r="K49" s="301"/>
      <c r="L49" s="301">
        <v>0</v>
      </c>
      <c r="M49" s="301"/>
      <c r="N49" s="301">
        <v>9</v>
      </c>
      <c r="O49" s="301"/>
      <c r="P49" s="48">
        <f>0.01*14.46</f>
        <v>0.1446</v>
      </c>
      <c r="Q49" s="301"/>
      <c r="R49" s="301">
        <v>1.9384977003327506</v>
      </c>
      <c r="S49" s="301"/>
      <c r="T49" s="301"/>
      <c r="U49" s="301"/>
      <c r="V49" s="301">
        <v>0.08497524165842195</v>
      </c>
      <c r="W49" s="301"/>
      <c r="X49" s="301">
        <v>2.409005613395433</v>
      </c>
      <c r="Y49" s="301"/>
      <c r="Z49" s="301">
        <v>71</v>
      </c>
      <c r="AA49" s="301"/>
      <c r="AB49" s="503">
        <v>244</v>
      </c>
      <c r="AC49" s="301"/>
      <c r="AD49" s="301">
        <v>0.7009811416027695</v>
      </c>
      <c r="AE49" s="301"/>
      <c r="AF49" s="301">
        <v>0.00987297382539112</v>
      </c>
    </row>
    <row r="50" spans="1:32" ht="12.75">
      <c r="A50" s="13" t="s">
        <v>167</v>
      </c>
      <c r="B50" s="382">
        <v>0.022378169931200894</v>
      </c>
      <c r="C50" s="301"/>
      <c r="D50" s="301">
        <v>84.15213946117274</v>
      </c>
      <c r="E50" s="301"/>
      <c r="F50" s="301">
        <v>0.0035464611618384947</v>
      </c>
      <c r="G50" s="301"/>
      <c r="H50" s="301">
        <v>6</v>
      </c>
      <c r="I50" s="301"/>
      <c r="J50" s="301">
        <v>0.0033336734921281855</v>
      </c>
      <c r="K50" s="301"/>
      <c r="L50" s="301">
        <v>0</v>
      </c>
      <c r="M50" s="301"/>
      <c r="N50" s="301">
        <v>11</v>
      </c>
      <c r="O50" s="301"/>
      <c r="P50" s="48">
        <f>0.01*86.7416798732171</f>
        <v>0.8674167987321709</v>
      </c>
      <c r="Q50" s="301"/>
      <c r="R50" s="301">
        <v>0.0029669694079940846</v>
      </c>
      <c r="S50" s="301"/>
      <c r="T50" s="301"/>
      <c r="U50" s="301"/>
      <c r="V50" s="301">
        <v>0.00013005893295316536</v>
      </c>
      <c r="W50" s="301"/>
      <c r="X50" s="301">
        <v>0.0036871057197557606</v>
      </c>
      <c r="Y50" s="301"/>
      <c r="Z50" s="301">
        <v>236</v>
      </c>
      <c r="AA50" s="301"/>
      <c r="AB50" s="503">
        <v>90</v>
      </c>
      <c r="AC50" s="301"/>
      <c r="AD50" s="301">
        <v>0.00966841055402622</v>
      </c>
      <c r="AE50" s="301"/>
      <c r="AF50" s="301">
        <v>4.096784133061957E-05</v>
      </c>
    </row>
    <row r="51" spans="1:35" ht="12.75">
      <c r="A51" s="228"/>
      <c r="B51" s="421">
        <f>SUM(B48:B50)</f>
        <v>5.381732495342265</v>
      </c>
      <c r="C51" s="421"/>
      <c r="D51" s="421"/>
      <c r="E51" s="421"/>
      <c r="F51" s="421"/>
      <c r="G51" s="421"/>
      <c r="H51" s="421"/>
      <c r="I51" s="421"/>
      <c r="J51" s="421"/>
      <c r="K51" s="421"/>
      <c r="L51" s="421"/>
      <c r="M51" s="421"/>
      <c r="N51" s="421"/>
      <c r="O51" s="421"/>
      <c r="P51" s="422">
        <f>1-(R51/B51)</f>
        <v>0.32422713339190434</v>
      </c>
      <c r="Q51" s="421"/>
      <c r="R51" s="421">
        <f>SUM(R48:R50)</f>
        <v>3.6368287956953824</v>
      </c>
      <c r="S51" s="421"/>
      <c r="T51" s="421"/>
      <c r="U51" s="421"/>
      <c r="V51" s="421">
        <f aca="true" t="shared" si="4" ref="V51:AF51">SUM(V48:V50)</f>
        <v>0.1594226321400716</v>
      </c>
      <c r="W51" s="421">
        <f t="shared" si="4"/>
        <v>0</v>
      </c>
      <c r="X51" s="421">
        <f t="shared" si="4"/>
        <v>4.519551909854959</v>
      </c>
      <c r="Y51" s="421">
        <f t="shared" si="4"/>
        <v>0</v>
      </c>
      <c r="Z51" s="421">
        <f t="shared" si="4"/>
        <v>399.3</v>
      </c>
      <c r="AA51" s="421">
        <f t="shared" si="4"/>
        <v>0</v>
      </c>
      <c r="AB51" s="500">
        <f t="shared" si="4"/>
        <v>493.7</v>
      </c>
      <c r="AC51" s="421">
        <f t="shared" si="4"/>
        <v>0</v>
      </c>
      <c r="AD51" s="421">
        <f t="shared" si="4"/>
        <v>1.9283270932042644</v>
      </c>
      <c r="AE51" s="421">
        <f t="shared" si="4"/>
        <v>0</v>
      </c>
      <c r="AF51" s="421">
        <f t="shared" si="4"/>
        <v>0.023106547745242532</v>
      </c>
      <c r="AH51" s="453">
        <f>B51/AF51</f>
        <v>232.90941401881744</v>
      </c>
      <c r="AI51" s="454">
        <f>AF51/B51</f>
        <v>0.004293514730663515</v>
      </c>
    </row>
    <row r="52" spans="2:32" ht="12.75">
      <c r="B52" s="301"/>
      <c r="C52" s="301"/>
      <c r="D52" s="301"/>
      <c r="E52" s="301"/>
      <c r="F52" s="301"/>
      <c r="G52" s="301"/>
      <c r="H52" s="301"/>
      <c r="I52" s="301"/>
      <c r="J52" s="301"/>
      <c r="K52" s="301"/>
      <c r="L52" s="301"/>
      <c r="M52" s="301"/>
      <c r="N52" s="301"/>
      <c r="O52" s="301"/>
      <c r="P52" s="48"/>
      <c r="Q52" s="301"/>
      <c r="R52" s="301"/>
      <c r="S52" s="301"/>
      <c r="T52" s="301"/>
      <c r="U52" s="301"/>
      <c r="V52" s="301"/>
      <c r="W52" s="301"/>
      <c r="X52" s="301"/>
      <c r="Y52" s="301"/>
      <c r="Z52" s="301"/>
      <c r="AA52" s="301"/>
      <c r="AB52" s="503"/>
      <c r="AC52" s="301"/>
      <c r="AD52" s="301"/>
      <c r="AE52" s="301"/>
      <c r="AF52" s="301"/>
    </row>
    <row r="53" spans="1:32" ht="12.75">
      <c r="A53" s="8" t="s">
        <v>177</v>
      </c>
      <c r="B53" s="301"/>
      <c r="C53" s="301"/>
      <c r="D53" s="301"/>
      <c r="E53" s="301"/>
      <c r="F53" s="301"/>
      <c r="G53" s="301"/>
      <c r="H53" s="301"/>
      <c r="I53" s="301"/>
      <c r="J53" s="301"/>
      <c r="K53" s="301"/>
      <c r="L53" s="301"/>
      <c r="M53" s="301"/>
      <c r="N53" s="301"/>
      <c r="O53" s="301"/>
      <c r="P53" s="48"/>
      <c r="Q53" s="301"/>
      <c r="R53" s="301"/>
      <c r="S53" s="301"/>
      <c r="T53" s="301"/>
      <c r="U53" s="301"/>
      <c r="V53" s="301"/>
      <c r="W53" s="301"/>
      <c r="X53" s="301"/>
      <c r="Y53" s="301"/>
      <c r="Z53" s="301"/>
      <c r="AA53" s="301"/>
      <c r="AB53" s="503"/>
      <c r="AC53" s="301"/>
      <c r="AD53" s="301"/>
      <c r="AE53" s="301"/>
      <c r="AF53" s="301"/>
    </row>
    <row r="54" spans="1:32" ht="12.75">
      <c r="A54" s="13" t="s">
        <v>156</v>
      </c>
      <c r="B54" s="301">
        <v>6.695425976810474</v>
      </c>
      <c r="C54" s="301"/>
      <c r="D54" s="301">
        <v>8</v>
      </c>
      <c r="E54" s="301"/>
      <c r="F54" s="301">
        <v>6.1597918986656355</v>
      </c>
      <c r="G54" s="301"/>
      <c r="H54" s="301">
        <v>9.75397963734622</v>
      </c>
      <c r="I54" s="301"/>
      <c r="J54" s="301">
        <v>5.558967051166887</v>
      </c>
      <c r="K54" s="301"/>
      <c r="L54" s="301">
        <v>6</v>
      </c>
      <c r="M54" s="301"/>
      <c r="N54" s="301">
        <v>35</v>
      </c>
      <c r="O54" s="301"/>
      <c r="P54" s="48">
        <f>0.01*51.0144601471515</f>
        <v>0.5101446014715151</v>
      </c>
      <c r="Q54" s="301"/>
      <c r="R54" s="301">
        <v>3.279790560188463</v>
      </c>
      <c r="S54" s="301"/>
      <c r="T54" s="301"/>
      <c r="U54" s="301"/>
      <c r="V54" s="301">
        <v>0.14377164099456277</v>
      </c>
      <c r="W54" s="301"/>
      <c r="X54" s="301">
        <v>4.075854136375357</v>
      </c>
      <c r="Y54" s="301"/>
      <c r="Z54" s="301">
        <v>50</v>
      </c>
      <c r="AA54" s="301"/>
      <c r="AB54" s="503">
        <v>151.5</v>
      </c>
      <c r="AC54" s="301"/>
      <c r="AD54" s="301">
        <v>1.345166381642032</v>
      </c>
      <c r="AE54" s="301"/>
      <c r="AF54" s="301">
        <v>0.02690332763284064</v>
      </c>
    </row>
    <row r="55" spans="1:32" ht="12.75">
      <c r="A55" s="13" t="s">
        <v>158</v>
      </c>
      <c r="B55" s="301">
        <v>0.3848996842875686</v>
      </c>
      <c r="C55" s="301"/>
      <c r="D55" s="301">
        <v>-12.35955056179776</v>
      </c>
      <c r="E55" s="301"/>
      <c r="F55" s="301">
        <v>0.4324715553792907</v>
      </c>
      <c r="G55" s="301"/>
      <c r="H55" s="301">
        <v>6</v>
      </c>
      <c r="I55" s="301"/>
      <c r="J55" s="301">
        <v>0.4065232620565332</v>
      </c>
      <c r="K55" s="301"/>
      <c r="L55" s="301">
        <v>0</v>
      </c>
      <c r="M55" s="301"/>
      <c r="N55" s="301">
        <v>24</v>
      </c>
      <c r="O55" s="301"/>
      <c r="P55" s="48">
        <f>0.01*19.7303370786517</f>
        <v>0.19730337078651702</v>
      </c>
      <c r="Q55" s="301"/>
      <c r="R55" s="301">
        <v>0.30895767916296524</v>
      </c>
      <c r="S55" s="301"/>
      <c r="T55" s="301"/>
      <c r="U55" s="301"/>
      <c r="V55" s="301">
        <v>0.013543350319472448</v>
      </c>
      <c r="W55" s="301"/>
      <c r="X55" s="301">
        <v>0.3839472098818842</v>
      </c>
      <c r="Y55" s="301"/>
      <c r="Z55" s="301">
        <v>52</v>
      </c>
      <c r="AA55" s="301"/>
      <c r="AB55" s="503">
        <v>149</v>
      </c>
      <c r="AC55" s="301"/>
      <c r="AD55" s="301">
        <v>0.1339949994218656</v>
      </c>
      <c r="AE55" s="301"/>
      <c r="AF55" s="301">
        <v>0.002576826911958954</v>
      </c>
    </row>
    <row r="56" spans="1:35" ht="12.75">
      <c r="A56" s="228"/>
      <c r="B56" s="421">
        <f>SUM(B54:B55)</f>
        <v>7.080325661098042</v>
      </c>
      <c r="C56" s="421"/>
      <c r="D56" s="421"/>
      <c r="E56" s="421"/>
      <c r="F56" s="421"/>
      <c r="G56" s="421"/>
      <c r="H56" s="421"/>
      <c r="I56" s="421"/>
      <c r="J56" s="421"/>
      <c r="K56" s="421"/>
      <c r="L56" s="421"/>
      <c r="M56" s="421"/>
      <c r="N56" s="421"/>
      <c r="O56" s="421"/>
      <c r="P56" s="422">
        <f>1-(R56/B56)</f>
        <v>0.4931379697590248</v>
      </c>
      <c r="Q56" s="421"/>
      <c r="R56" s="421">
        <f aca="true" t="shared" si="5" ref="R56:AF56">SUM(R54:R55)</f>
        <v>3.5887482393514283</v>
      </c>
      <c r="S56" s="421">
        <f t="shared" si="5"/>
        <v>0</v>
      </c>
      <c r="T56" s="421">
        <f t="shared" si="5"/>
        <v>0</v>
      </c>
      <c r="U56" s="421">
        <f t="shared" si="5"/>
        <v>0</v>
      </c>
      <c r="V56" s="421">
        <f t="shared" si="5"/>
        <v>0.15731499131403523</v>
      </c>
      <c r="W56" s="421">
        <f t="shared" si="5"/>
        <v>0</v>
      </c>
      <c r="X56" s="421">
        <f t="shared" si="5"/>
        <v>4.459801346257241</v>
      </c>
      <c r="Y56" s="421">
        <f t="shared" si="5"/>
        <v>0</v>
      </c>
      <c r="Z56" s="421">
        <f t="shared" si="5"/>
        <v>102</v>
      </c>
      <c r="AA56" s="421">
        <f t="shared" si="5"/>
        <v>0</v>
      </c>
      <c r="AB56" s="500">
        <f t="shared" si="5"/>
        <v>300.5</v>
      </c>
      <c r="AC56" s="421">
        <f t="shared" si="5"/>
        <v>0</v>
      </c>
      <c r="AD56" s="421">
        <f t="shared" si="5"/>
        <v>1.4791613810638977</v>
      </c>
      <c r="AE56" s="421">
        <f t="shared" si="5"/>
        <v>0</v>
      </c>
      <c r="AF56" s="421">
        <f t="shared" si="5"/>
        <v>0.029480154544799592</v>
      </c>
      <c r="AG56" s="11"/>
      <c r="AH56" s="453">
        <f>B56/AF56</f>
        <v>240.17261002951687</v>
      </c>
      <c r="AI56" s="454">
        <f>AF56/B56</f>
        <v>0.004163672118469718</v>
      </c>
    </row>
    <row r="57" spans="1:32" ht="12.75">
      <c r="A57" s="8" t="s">
        <v>178</v>
      </c>
      <c r="B57" s="301"/>
      <c r="C57" s="301"/>
      <c r="D57" s="301"/>
      <c r="E57" s="301"/>
      <c r="F57" s="301"/>
      <c r="G57" s="301"/>
      <c r="H57" s="301"/>
      <c r="I57" s="301"/>
      <c r="J57" s="301"/>
      <c r="K57" s="301"/>
      <c r="L57" s="301"/>
      <c r="M57" s="301"/>
      <c r="N57" s="301"/>
      <c r="O57" s="301"/>
      <c r="P57" s="48"/>
      <c r="Q57" s="301"/>
      <c r="R57" s="301"/>
      <c r="S57" s="301"/>
      <c r="T57" s="301"/>
      <c r="U57" s="301"/>
      <c r="V57" s="301"/>
      <c r="W57" s="301"/>
      <c r="X57" s="301"/>
      <c r="Y57" s="301"/>
      <c r="Z57" s="301"/>
      <c r="AA57" s="301"/>
      <c r="AB57" s="503"/>
      <c r="AC57" s="301"/>
      <c r="AD57" s="301"/>
      <c r="AE57" s="301"/>
      <c r="AF57" s="301"/>
    </row>
    <row r="58" spans="1:35" ht="12.75">
      <c r="A58" s="13" t="s">
        <v>156</v>
      </c>
      <c r="B58" s="301">
        <v>15.110790557086522</v>
      </c>
      <c r="C58" s="301"/>
      <c r="D58" s="301">
        <v>10</v>
      </c>
      <c r="E58" s="301"/>
      <c r="F58" s="301">
        <v>13.599711501377874</v>
      </c>
      <c r="G58" s="301"/>
      <c r="H58" s="301">
        <v>16.777334931261265</v>
      </c>
      <c r="I58" s="301"/>
      <c r="J58" s="301">
        <v>11.318042353106446</v>
      </c>
      <c r="K58" s="301"/>
      <c r="L58" s="301">
        <v>48</v>
      </c>
      <c r="M58" s="301"/>
      <c r="N58" s="301">
        <v>13</v>
      </c>
      <c r="O58" s="301"/>
      <c r="P58" s="48">
        <f>0.01*70.7888445608727</f>
        <v>0.7078884456087271</v>
      </c>
      <c r="Q58" s="301"/>
      <c r="R58" s="301">
        <v>4.414036517711514</v>
      </c>
      <c r="S58" s="301"/>
      <c r="T58" s="301"/>
      <c r="U58" s="301"/>
      <c r="V58" s="301">
        <v>0.19349201173529926</v>
      </c>
      <c r="W58" s="301"/>
      <c r="X58" s="301">
        <v>5.485401786689866</v>
      </c>
      <c r="Y58" s="301"/>
      <c r="Z58" s="301">
        <v>45.3</v>
      </c>
      <c r="AA58" s="301"/>
      <c r="AB58" s="503">
        <v>150.8</v>
      </c>
      <c r="AC58" s="301"/>
      <c r="AD58" s="301">
        <v>1.6478030566117432</v>
      </c>
      <c r="AE58" s="301"/>
      <c r="AF58" s="301">
        <v>0.03637534341306277</v>
      </c>
      <c r="AH58" s="246">
        <f>B58/AF58</f>
        <v>415.4130006552757</v>
      </c>
      <c r="AI58" s="451">
        <f>AF58/B58</f>
        <v>0.0024072429086778513</v>
      </c>
    </row>
    <row r="59" spans="1:35" ht="12.75">
      <c r="A59" s="13"/>
      <c r="B59" s="301"/>
      <c r="C59" s="301"/>
      <c r="D59" s="301"/>
      <c r="E59" s="301"/>
      <c r="F59" s="301"/>
      <c r="G59" s="301"/>
      <c r="H59" s="301"/>
      <c r="I59" s="301"/>
      <c r="J59" s="301"/>
      <c r="K59" s="301"/>
      <c r="L59" s="301"/>
      <c r="M59" s="301"/>
      <c r="N59" s="301"/>
      <c r="O59" s="301"/>
      <c r="P59" s="48"/>
      <c r="Q59" s="301"/>
      <c r="R59" s="301"/>
      <c r="S59" s="301"/>
      <c r="T59" s="301"/>
      <c r="U59" s="301"/>
      <c r="V59" s="301"/>
      <c r="W59" s="301"/>
      <c r="X59" s="301"/>
      <c r="Y59" s="301"/>
      <c r="Z59" s="301"/>
      <c r="AA59" s="301"/>
      <c r="AB59" s="503"/>
      <c r="AC59" s="301"/>
      <c r="AD59" s="301"/>
      <c r="AE59" s="301"/>
      <c r="AF59" s="301"/>
      <c r="AH59" s="246"/>
      <c r="AI59" s="451"/>
    </row>
    <row r="60" spans="1:32" ht="12.75">
      <c r="A60" s="456" t="s">
        <v>526</v>
      </c>
      <c r="B60" s="301"/>
      <c r="C60" s="301"/>
      <c r="D60" s="301"/>
      <c r="E60" s="301"/>
      <c r="F60" s="301"/>
      <c r="G60" s="301"/>
      <c r="H60" s="301"/>
      <c r="I60" s="301"/>
      <c r="J60" s="301"/>
      <c r="K60" s="301"/>
      <c r="L60" s="301"/>
      <c r="M60" s="301"/>
      <c r="N60" s="301"/>
      <c r="O60" s="301"/>
      <c r="P60" s="48"/>
      <c r="Q60" s="301"/>
      <c r="R60" s="301"/>
      <c r="S60" s="301"/>
      <c r="T60" s="301"/>
      <c r="U60" s="301"/>
      <c r="V60" s="301"/>
      <c r="W60" s="301"/>
      <c r="X60" s="301"/>
      <c r="Y60" s="301"/>
      <c r="Z60" s="301"/>
      <c r="AA60" s="301"/>
      <c r="AB60" s="503"/>
      <c r="AC60" s="301"/>
      <c r="AD60" s="301"/>
      <c r="AE60" s="301"/>
      <c r="AF60" s="301"/>
    </row>
    <row r="61" spans="1:32" ht="12.75">
      <c r="A61" s="326" t="s">
        <v>156</v>
      </c>
      <c r="B61" s="382">
        <v>0.8919685861901602</v>
      </c>
      <c r="C61" s="301"/>
      <c r="D61" s="301">
        <v>5</v>
      </c>
      <c r="E61" s="301"/>
      <c r="F61" s="301">
        <v>0.8473701568806522</v>
      </c>
      <c r="G61" s="301"/>
      <c r="H61" s="301">
        <v>17.316554490124737</v>
      </c>
      <c r="I61" s="301"/>
      <c r="J61" s="301">
        <v>0.7006348419313587</v>
      </c>
      <c r="K61" s="301"/>
      <c r="L61" s="301">
        <v>6</v>
      </c>
      <c r="M61" s="301"/>
      <c r="N61" s="301">
        <v>27</v>
      </c>
      <c r="O61" s="301"/>
      <c r="P61" s="48">
        <f>0.01*47.3719869329644</f>
        <v>0.473719869329644</v>
      </c>
      <c r="Q61" s="301"/>
      <c r="R61" s="301">
        <v>0.4694253440940104</v>
      </c>
      <c r="S61" s="301"/>
      <c r="T61" s="301"/>
      <c r="U61" s="301"/>
      <c r="V61" s="301">
        <v>0.020577549330148402</v>
      </c>
      <c r="W61" s="301"/>
      <c r="X61" s="301">
        <v>0.583363234735042</v>
      </c>
      <c r="Y61" s="301"/>
      <c r="Z61" s="301">
        <v>76</v>
      </c>
      <c r="AA61" s="301"/>
      <c r="AB61" s="503">
        <v>165</v>
      </c>
      <c r="AC61" s="301"/>
      <c r="AD61" s="301">
        <v>0.26870064145371636</v>
      </c>
      <c r="AE61" s="301"/>
      <c r="AF61" s="301">
        <v>0.003535534755969952</v>
      </c>
    </row>
    <row r="62" spans="1:32" ht="12.75">
      <c r="A62" s="326" t="s">
        <v>157</v>
      </c>
      <c r="B62" s="301">
        <v>0.01897373213252912</v>
      </c>
      <c r="C62" s="301"/>
      <c r="D62" s="301">
        <v>33.774834437086085</v>
      </c>
      <c r="E62" s="301"/>
      <c r="F62" s="301">
        <v>0.012565385518231203</v>
      </c>
      <c r="G62" s="301"/>
      <c r="H62" s="301">
        <v>6</v>
      </c>
      <c r="I62" s="301"/>
      <c r="J62" s="301">
        <v>0.011811462387137333</v>
      </c>
      <c r="K62" s="301"/>
      <c r="L62" s="301">
        <v>0</v>
      </c>
      <c r="M62" s="301"/>
      <c r="N62" s="301">
        <v>26</v>
      </c>
      <c r="O62" s="301"/>
      <c r="P62" s="48">
        <f>0.01*53.9337748344371</f>
        <v>0.539337748344371</v>
      </c>
      <c r="Q62" s="301"/>
      <c r="R62" s="301">
        <v>0.008740482166481628</v>
      </c>
      <c r="S62" s="301"/>
      <c r="T62" s="301"/>
      <c r="U62" s="301"/>
      <c r="V62" s="301">
        <v>0.00038314442373618083</v>
      </c>
      <c r="W62" s="301"/>
      <c r="X62" s="301">
        <v>0.010861952840708858</v>
      </c>
      <c r="Y62" s="301"/>
      <c r="Z62" s="301">
        <v>102</v>
      </c>
      <c r="AA62" s="301"/>
      <c r="AB62" s="503">
        <v>249</v>
      </c>
      <c r="AC62" s="301"/>
      <c r="AD62" s="301">
        <v>0.004449474657639773</v>
      </c>
      <c r="AE62" s="301"/>
      <c r="AF62" s="301">
        <v>4.362230056509581E-05</v>
      </c>
    </row>
    <row r="63" spans="1:32" ht="12.75">
      <c r="A63" s="326" t="s">
        <v>158</v>
      </c>
      <c r="B63" s="301">
        <v>0.006749617064153645</v>
      </c>
      <c r="C63" s="301"/>
      <c r="D63" s="301">
        <v>15.254237288135588</v>
      </c>
      <c r="E63" s="301"/>
      <c r="F63" s="301">
        <v>0.0057200144611471585</v>
      </c>
      <c r="G63" s="301"/>
      <c r="H63" s="301">
        <v>6</v>
      </c>
      <c r="I63" s="301"/>
      <c r="J63" s="301">
        <v>0.005376813593478329</v>
      </c>
      <c r="K63" s="301"/>
      <c r="L63" s="301">
        <v>0</v>
      </c>
      <c r="M63" s="301"/>
      <c r="N63" s="301">
        <v>10</v>
      </c>
      <c r="O63" s="301"/>
      <c r="P63" s="48">
        <f>0.01*28.3050847457627</f>
        <v>0.283050847457627</v>
      </c>
      <c r="Q63" s="301"/>
      <c r="R63" s="301">
        <v>0.004839132234130496</v>
      </c>
      <c r="S63" s="301"/>
      <c r="T63" s="301"/>
      <c r="U63" s="301"/>
      <c r="V63" s="301">
        <v>0.00021212634450983</v>
      </c>
      <c r="W63" s="301"/>
      <c r="X63" s="301">
        <v>0.006013675803681424</v>
      </c>
      <c r="Y63" s="301"/>
      <c r="Z63" s="301">
        <v>83</v>
      </c>
      <c r="AA63" s="301"/>
      <c r="AB63" s="503">
        <v>173</v>
      </c>
      <c r="AC63" s="301"/>
      <c r="AD63" s="301">
        <v>0.002885173940494556</v>
      </c>
      <c r="AE63" s="301"/>
      <c r="AF63" s="301">
        <v>3.476113181318742E-05</v>
      </c>
    </row>
    <row r="64" spans="1:32" ht="12.75">
      <c r="A64" s="326" t="s">
        <v>167</v>
      </c>
      <c r="B64" s="301">
        <v>0.798881255362385</v>
      </c>
      <c r="C64" s="301"/>
      <c r="D64" s="301">
        <v>61.53846153846153</v>
      </c>
      <c r="E64" s="301"/>
      <c r="F64" s="301">
        <v>0.307262021293225</v>
      </c>
      <c r="G64" s="301"/>
      <c r="H64" s="301">
        <v>6</v>
      </c>
      <c r="I64" s="301"/>
      <c r="J64" s="301">
        <v>0.28882630001563153</v>
      </c>
      <c r="K64" s="301"/>
      <c r="L64" s="301">
        <v>0</v>
      </c>
      <c r="M64" s="301"/>
      <c r="N64" s="301">
        <v>11</v>
      </c>
      <c r="O64" s="301"/>
      <c r="P64" s="48">
        <f>0.01*67.8230769230769</f>
        <v>0.678230769230769</v>
      </c>
      <c r="Q64" s="301"/>
      <c r="R64" s="301">
        <v>0.25705540701391205</v>
      </c>
      <c r="S64" s="301"/>
      <c r="T64" s="301"/>
      <c r="U64" s="301"/>
      <c r="V64" s="301">
        <v>0.011268182225267376</v>
      </c>
      <c r="W64" s="301"/>
      <c r="X64" s="301">
        <v>0.31944733199521747</v>
      </c>
      <c r="Y64" s="301"/>
      <c r="Z64" s="301">
        <v>209</v>
      </c>
      <c r="AA64" s="301"/>
      <c r="AB64" s="503">
        <v>87</v>
      </c>
      <c r="AC64" s="301"/>
      <c r="AD64" s="301">
        <v>0.7674079584712696</v>
      </c>
      <c r="AE64" s="301"/>
      <c r="AF64" s="301">
        <v>0.0036718084137381327</v>
      </c>
    </row>
    <row r="65" spans="1:32" ht="12.75">
      <c r="A65" s="326" t="s">
        <v>174</v>
      </c>
      <c r="B65" s="382">
        <v>0.4611342914561038</v>
      </c>
      <c r="C65" s="301"/>
      <c r="D65" s="301">
        <v>27.69230769230769</v>
      </c>
      <c r="E65" s="301"/>
      <c r="F65" s="301">
        <v>0.3334355645913366</v>
      </c>
      <c r="G65" s="301"/>
      <c r="H65" s="301">
        <v>6</v>
      </c>
      <c r="I65" s="301"/>
      <c r="J65" s="301">
        <v>0.3134294307158564</v>
      </c>
      <c r="K65" s="301"/>
      <c r="L65" s="301">
        <v>0</v>
      </c>
      <c r="M65" s="301"/>
      <c r="N65" s="301">
        <v>32</v>
      </c>
      <c r="O65" s="301"/>
      <c r="P65" s="48">
        <f>0.01*53.7809230769231</f>
        <v>0.537809230769231</v>
      </c>
      <c r="Q65" s="301"/>
      <c r="R65" s="301">
        <v>0.21313201288678235</v>
      </c>
      <c r="S65" s="301"/>
      <c r="T65" s="301">
        <v>0.02267361839221089</v>
      </c>
      <c r="U65" s="301"/>
      <c r="V65" s="301">
        <v>0.009342773167639774</v>
      </c>
      <c r="W65" s="301"/>
      <c r="X65" s="301">
        <v>0.26486294791600373</v>
      </c>
      <c r="Y65" s="301"/>
      <c r="Z65" s="301">
        <v>182</v>
      </c>
      <c r="AA65" s="301"/>
      <c r="AB65" s="503">
        <v>256</v>
      </c>
      <c r="AC65" s="301"/>
      <c r="AD65" s="301">
        <v>0.18830100203403394</v>
      </c>
      <c r="AE65" s="301"/>
      <c r="AF65" s="301">
        <v>0.0010346208902968896</v>
      </c>
    </row>
    <row r="66" spans="1:35" ht="12.75">
      <c r="A66" s="457"/>
      <c r="B66" s="421">
        <f>SUM(B61:B65)</f>
        <v>2.1777074822053315</v>
      </c>
      <c r="C66" s="421"/>
      <c r="D66" s="421"/>
      <c r="E66" s="421"/>
      <c r="F66" s="421"/>
      <c r="G66" s="421"/>
      <c r="H66" s="421"/>
      <c r="I66" s="421"/>
      <c r="J66" s="421"/>
      <c r="K66" s="421"/>
      <c r="L66" s="421"/>
      <c r="M66" s="421"/>
      <c r="N66" s="421"/>
      <c r="O66" s="421"/>
      <c r="P66" s="422">
        <f>1-(R66/B66)</f>
        <v>0.5622954936858493</v>
      </c>
      <c r="Q66" s="421"/>
      <c r="R66" s="421">
        <f aca="true" t="shared" si="6" ref="R66:AF66">SUM(R61:R65)</f>
        <v>0.9531923783953169</v>
      </c>
      <c r="S66" s="421">
        <f t="shared" si="6"/>
        <v>0</v>
      </c>
      <c r="T66" s="421">
        <f t="shared" si="6"/>
        <v>0.02267361839221089</v>
      </c>
      <c r="U66" s="421">
        <f t="shared" si="6"/>
        <v>0</v>
      </c>
      <c r="V66" s="421">
        <f t="shared" si="6"/>
        <v>0.041783775491301564</v>
      </c>
      <c r="W66" s="421">
        <f t="shared" si="6"/>
        <v>0</v>
      </c>
      <c r="X66" s="421">
        <f t="shared" si="6"/>
        <v>1.1845491432906536</v>
      </c>
      <c r="Y66" s="421">
        <f t="shared" si="6"/>
        <v>0</v>
      </c>
      <c r="Z66" s="421">
        <f t="shared" si="6"/>
        <v>652</v>
      </c>
      <c r="AA66" s="421">
        <f t="shared" si="6"/>
        <v>0</v>
      </c>
      <c r="AB66" s="500">
        <f t="shared" si="6"/>
        <v>930</v>
      </c>
      <c r="AC66" s="421">
        <f t="shared" si="6"/>
        <v>0</v>
      </c>
      <c r="AD66" s="421">
        <f t="shared" si="6"/>
        <v>1.231744250557154</v>
      </c>
      <c r="AE66" s="421">
        <f t="shared" si="6"/>
        <v>0</v>
      </c>
      <c r="AF66" s="421">
        <f t="shared" si="6"/>
        <v>0.008320347492383258</v>
      </c>
      <c r="AH66" s="453">
        <f>B66/AF66</f>
        <v>261.73275625794264</v>
      </c>
      <c r="AI66" s="454">
        <f>AF66/B66</f>
        <v>0.0038206910525730334</v>
      </c>
    </row>
    <row r="67" spans="1:32" ht="12.75">
      <c r="A67" s="341"/>
      <c r="B67" s="301"/>
      <c r="C67" s="301"/>
      <c r="D67" s="301"/>
      <c r="E67" s="301"/>
      <c r="F67" s="301"/>
      <c r="G67" s="301"/>
      <c r="H67" s="301"/>
      <c r="I67" s="301"/>
      <c r="J67" s="301"/>
      <c r="K67" s="301"/>
      <c r="L67" s="301"/>
      <c r="M67" s="301"/>
      <c r="N67" s="301"/>
      <c r="O67" s="301"/>
      <c r="P67" s="48"/>
      <c r="Q67" s="301"/>
      <c r="R67" s="301"/>
      <c r="S67" s="301"/>
      <c r="T67" s="301"/>
      <c r="U67" s="301"/>
      <c r="V67" s="301"/>
      <c r="W67" s="301"/>
      <c r="X67" s="301"/>
      <c r="Y67" s="301"/>
      <c r="Z67" s="301"/>
      <c r="AA67" s="301"/>
      <c r="AB67" s="503"/>
      <c r="AC67" s="301"/>
      <c r="AD67" s="301"/>
      <c r="AE67" s="301"/>
      <c r="AF67" s="301"/>
    </row>
    <row r="68" spans="1:32" ht="12.75">
      <c r="A68" s="456" t="s">
        <v>556</v>
      </c>
      <c r="B68" s="301"/>
      <c r="C68" s="301"/>
      <c r="D68" s="301"/>
      <c r="E68" s="301"/>
      <c r="F68" s="301"/>
      <c r="G68" s="301"/>
      <c r="H68" s="301"/>
      <c r="I68" s="301"/>
      <c r="J68" s="301"/>
      <c r="K68" s="301"/>
      <c r="L68" s="301"/>
      <c r="M68" s="301"/>
      <c r="N68" s="301"/>
      <c r="O68" s="301"/>
      <c r="P68" s="48"/>
      <c r="Q68" s="301"/>
      <c r="R68" s="301"/>
      <c r="S68" s="301"/>
      <c r="T68" s="301"/>
      <c r="U68" s="301"/>
      <c r="V68" s="301"/>
      <c r="W68" s="301"/>
      <c r="X68" s="301"/>
      <c r="Y68" s="301"/>
      <c r="Z68" s="301"/>
      <c r="AA68" s="301"/>
      <c r="AB68" s="503"/>
      <c r="AC68" s="301"/>
      <c r="AD68" s="301"/>
      <c r="AE68" s="301"/>
      <c r="AF68" s="301"/>
    </row>
    <row r="69" spans="1:32" ht="12.75">
      <c r="A69" s="326" t="s">
        <v>156</v>
      </c>
      <c r="B69" s="382">
        <v>0.12589850217026527</v>
      </c>
      <c r="C69" s="301"/>
      <c r="D69" s="301">
        <v>9</v>
      </c>
      <c r="E69" s="301"/>
      <c r="F69" s="301">
        <v>0.1145676369749414</v>
      </c>
      <c r="G69" s="301"/>
      <c r="H69" s="301">
        <v>35.05755274152872</v>
      </c>
      <c r="I69" s="301"/>
      <c r="J69" s="301">
        <v>0.07440302721772815</v>
      </c>
      <c r="K69" s="301"/>
      <c r="L69" s="301">
        <v>7</v>
      </c>
      <c r="M69" s="301"/>
      <c r="N69" s="301">
        <v>10</v>
      </c>
      <c r="O69" s="301"/>
      <c r="P69" s="48">
        <f>0.01*50.9489695856766</f>
        <v>0.5094896958567661</v>
      </c>
      <c r="Q69" s="301"/>
      <c r="R69" s="301">
        <v>0.061754512590714385</v>
      </c>
      <c r="S69" s="301"/>
      <c r="T69" s="301"/>
      <c r="U69" s="301"/>
      <c r="V69" s="301">
        <v>0.002707047127264192</v>
      </c>
      <c r="W69" s="301"/>
      <c r="X69" s="301">
        <v>0.07674343253437621</v>
      </c>
      <c r="Y69" s="301"/>
      <c r="Z69" s="301">
        <v>706.5</v>
      </c>
      <c r="AA69" s="301"/>
      <c r="AB69" s="503">
        <v>160</v>
      </c>
      <c r="AC69" s="301"/>
      <c r="AD69" s="301">
        <v>0.338870219284605</v>
      </c>
      <c r="AE69" s="301"/>
      <c r="AF69" s="301">
        <v>0.00047964645333985125</v>
      </c>
    </row>
    <row r="70" spans="1:32" ht="12.75">
      <c r="A70" s="326" t="s">
        <v>167</v>
      </c>
      <c r="B70" s="301">
        <v>0.6232823420147374</v>
      </c>
      <c r="C70" s="301"/>
      <c r="D70" s="301">
        <v>82.01438848920863</v>
      </c>
      <c r="E70" s="301"/>
      <c r="F70" s="301">
        <v>0.1121011406501327</v>
      </c>
      <c r="G70" s="301"/>
      <c r="H70" s="301">
        <v>6</v>
      </c>
      <c r="I70" s="301"/>
      <c r="J70" s="301">
        <v>0.10537507221112474</v>
      </c>
      <c r="K70" s="301"/>
      <c r="L70" s="301">
        <v>0</v>
      </c>
      <c r="M70" s="301"/>
      <c r="N70" s="301">
        <v>11</v>
      </c>
      <c r="O70" s="301"/>
      <c r="P70" s="48">
        <f>0.01*84.9532374100719</f>
        <v>0.8495323741007191</v>
      </c>
      <c r="Q70" s="301"/>
      <c r="R70" s="301">
        <v>0.09378381426790101</v>
      </c>
      <c r="S70" s="301"/>
      <c r="T70" s="301"/>
      <c r="U70" s="301"/>
      <c r="V70" s="301">
        <v>0.004111071310373743</v>
      </c>
      <c r="W70" s="301"/>
      <c r="X70" s="301">
        <v>0.11654681611344042</v>
      </c>
      <c r="Y70" s="301"/>
      <c r="Z70" s="301">
        <v>157</v>
      </c>
      <c r="AA70" s="301"/>
      <c r="AB70" s="503">
        <v>65</v>
      </c>
      <c r="AC70" s="301"/>
      <c r="AD70" s="301">
        <v>0.2815053866124638</v>
      </c>
      <c r="AE70" s="301"/>
      <c r="AF70" s="301">
        <v>0.0017930279402067757</v>
      </c>
    </row>
    <row r="71" spans="1:32" ht="12.75">
      <c r="A71" s="326" t="s">
        <v>157</v>
      </c>
      <c r="B71" s="301">
        <v>0.1321211701136433</v>
      </c>
      <c r="C71" s="301"/>
      <c r="D71" s="301">
        <v>30.555555555555554</v>
      </c>
      <c r="E71" s="301"/>
      <c r="F71" s="301">
        <v>0.09175081257891896</v>
      </c>
      <c r="G71" s="301"/>
      <c r="H71" s="301">
        <v>6</v>
      </c>
      <c r="I71" s="301"/>
      <c r="J71" s="301">
        <v>0.08624576382418381</v>
      </c>
      <c r="K71" s="301"/>
      <c r="L71" s="301">
        <v>0</v>
      </c>
      <c r="M71" s="301"/>
      <c r="N71" s="301">
        <v>27</v>
      </c>
      <c r="O71" s="301"/>
      <c r="P71" s="48">
        <f>0.01*52.3472222222222</f>
        <v>0.523472222222222</v>
      </c>
      <c r="Q71" s="301"/>
      <c r="R71" s="301">
        <v>0.06295940759165417</v>
      </c>
      <c r="S71" s="301"/>
      <c r="T71" s="301"/>
      <c r="U71" s="301"/>
      <c r="V71" s="301">
        <v>0.002759864442373882</v>
      </c>
      <c r="W71" s="301"/>
      <c r="X71" s="301">
        <v>0.07824077700907836</v>
      </c>
      <c r="Y71" s="301"/>
      <c r="Z71" s="301">
        <v>50</v>
      </c>
      <c r="AA71" s="301"/>
      <c r="AB71" s="503">
        <v>227</v>
      </c>
      <c r="AC71" s="301"/>
      <c r="AD71" s="301">
        <v>0.017233651323585543</v>
      </c>
      <c r="AE71" s="301"/>
      <c r="AF71" s="301">
        <v>0.0003446730264717108</v>
      </c>
    </row>
    <row r="72" spans="1:32" ht="12.75">
      <c r="A72" s="326" t="s">
        <v>158</v>
      </c>
      <c r="B72" s="301">
        <v>0.7633288038034733</v>
      </c>
      <c r="C72" s="301"/>
      <c r="D72" s="301">
        <v>9.090909090909093</v>
      </c>
      <c r="E72" s="301"/>
      <c r="F72" s="301">
        <v>0.6939352761849756</v>
      </c>
      <c r="G72" s="301"/>
      <c r="H72" s="301">
        <v>6</v>
      </c>
      <c r="I72" s="301"/>
      <c r="J72" s="301">
        <v>0.6522991596138771</v>
      </c>
      <c r="K72" s="301"/>
      <c r="L72" s="301">
        <v>0</v>
      </c>
      <c r="M72" s="301"/>
      <c r="N72" s="301">
        <v>35</v>
      </c>
      <c r="O72" s="301"/>
      <c r="P72" s="48">
        <f>0.01*44.4545454545455</f>
        <v>0.444545454545455</v>
      </c>
      <c r="Q72" s="301"/>
      <c r="R72" s="301">
        <v>0.4239944537490201</v>
      </c>
      <c r="S72" s="301"/>
      <c r="T72" s="301"/>
      <c r="U72" s="301"/>
      <c r="V72" s="301">
        <v>0.018586058246532387</v>
      </c>
      <c r="W72" s="301"/>
      <c r="X72" s="301">
        <v>0.5269054582600698</v>
      </c>
      <c r="Y72" s="301"/>
      <c r="Z72" s="301">
        <v>83</v>
      </c>
      <c r="AA72" s="301"/>
      <c r="AB72" s="503">
        <v>173</v>
      </c>
      <c r="AC72" s="301"/>
      <c r="AD72" s="301">
        <v>0.25279279211321276</v>
      </c>
      <c r="AE72" s="301"/>
      <c r="AF72" s="301">
        <v>0.003045696290520635</v>
      </c>
    </row>
    <row r="73" spans="1:35" ht="12.75">
      <c r="A73" s="457" t="s">
        <v>134</v>
      </c>
      <c r="B73" s="421">
        <f>SUM(B69:B72)</f>
        <v>1.6446308181021194</v>
      </c>
      <c r="C73" s="421"/>
      <c r="D73" s="421"/>
      <c r="E73" s="421"/>
      <c r="F73" s="421"/>
      <c r="G73" s="421"/>
      <c r="H73" s="421"/>
      <c r="I73" s="421"/>
      <c r="J73" s="421"/>
      <c r="K73" s="421"/>
      <c r="L73" s="421"/>
      <c r="M73" s="421"/>
      <c r="N73" s="421"/>
      <c r="O73" s="421"/>
      <c r="P73" s="422">
        <f>1-(R73/B73)</f>
        <v>0.6093395665899557</v>
      </c>
      <c r="Q73" s="421"/>
      <c r="R73" s="421">
        <f>SUM(R69:R72)</f>
        <v>0.6424921881992897</v>
      </c>
      <c r="S73" s="421">
        <f>SUM(S71:S72)</f>
        <v>0</v>
      </c>
      <c r="T73" s="421">
        <f>SUM(T71:T72)</f>
        <v>0</v>
      </c>
      <c r="U73" s="421">
        <f>SUM(U71:U72)</f>
        <v>0</v>
      </c>
      <c r="V73" s="421">
        <f>SUM(V69:V72)</f>
        <v>0.028164041126544206</v>
      </c>
      <c r="W73" s="421">
        <f>SUM(W71:W72)</f>
        <v>0</v>
      </c>
      <c r="X73" s="421">
        <f>SUM(X69:X72)</f>
        <v>0.7984364839169649</v>
      </c>
      <c r="Y73" s="421">
        <f>SUM(Y71:Y72)</f>
        <v>0</v>
      </c>
      <c r="Z73" s="421">
        <f>SUM(Z71:Z72)</f>
        <v>133</v>
      </c>
      <c r="AA73" s="421">
        <f>SUM(AA71:AA72)</f>
        <v>0</v>
      </c>
      <c r="AB73" s="500">
        <f>SUM(AB71:AB72)</f>
        <v>400</v>
      </c>
      <c r="AC73" s="421">
        <f>SUM(AC71:AC72)</f>
        <v>0</v>
      </c>
      <c r="AD73" s="421">
        <f>SUM(AD69:AD72)</f>
        <v>0.8904020493338671</v>
      </c>
      <c r="AE73" s="421">
        <f>SUM(AE71:AE72)</f>
        <v>0</v>
      </c>
      <c r="AF73" s="421">
        <f>SUM(AF69:AF72)</f>
        <v>0.005663043710538973</v>
      </c>
      <c r="AH73" s="453">
        <f>B73/AF73</f>
        <v>290.41464310816593</v>
      </c>
      <c r="AI73" s="454">
        <f>AF73/B73</f>
        <v>0.0034433525434443973</v>
      </c>
    </row>
    <row r="74" spans="1:32" ht="12.75">
      <c r="A74" s="326"/>
      <c r="B74" s="301"/>
      <c r="C74" s="301"/>
      <c r="D74" s="301"/>
      <c r="E74" s="301"/>
      <c r="F74" s="301"/>
      <c r="G74" s="301"/>
      <c r="H74" s="301"/>
      <c r="I74" s="301"/>
      <c r="J74" s="301"/>
      <c r="K74" s="301"/>
      <c r="L74" s="301"/>
      <c r="M74" s="301"/>
      <c r="N74" s="301"/>
      <c r="O74" s="301"/>
      <c r="P74" s="48"/>
      <c r="Q74" s="301"/>
      <c r="R74" s="301"/>
      <c r="S74" s="301"/>
      <c r="T74" s="301"/>
      <c r="U74" s="301"/>
      <c r="W74" s="301"/>
      <c r="X74" s="301"/>
      <c r="Y74" s="301"/>
      <c r="Z74" s="301"/>
      <c r="AA74" s="301"/>
      <c r="AB74" s="503"/>
      <c r="AC74" s="301"/>
      <c r="AD74" s="301"/>
      <c r="AE74" s="301"/>
      <c r="AF74" s="301"/>
    </row>
    <row r="75" spans="1:32" ht="12.75">
      <c r="A75" s="456" t="s">
        <v>557</v>
      </c>
      <c r="B75" s="301"/>
      <c r="C75" s="301"/>
      <c r="D75" s="301"/>
      <c r="E75" s="301"/>
      <c r="F75" s="301"/>
      <c r="G75" s="301"/>
      <c r="H75" s="301"/>
      <c r="I75" s="301"/>
      <c r="J75" s="301"/>
      <c r="K75" s="301"/>
      <c r="L75" s="301"/>
      <c r="M75" s="301"/>
      <c r="N75" s="301"/>
      <c r="O75" s="301"/>
      <c r="P75" s="48"/>
      <c r="Q75" s="301"/>
      <c r="R75" s="301"/>
      <c r="S75" s="301"/>
      <c r="T75" s="301"/>
      <c r="U75" s="301"/>
      <c r="V75" s="301"/>
      <c r="W75" s="301"/>
      <c r="X75" s="301"/>
      <c r="Y75" s="301"/>
      <c r="Z75" s="301"/>
      <c r="AA75" s="301"/>
      <c r="AB75" s="503"/>
      <c r="AC75" s="301"/>
      <c r="AD75" s="301"/>
      <c r="AE75" s="301"/>
      <c r="AF75" s="301"/>
    </row>
    <row r="76" spans="1:35" ht="12.75">
      <c r="A76" s="326" t="s">
        <v>158</v>
      </c>
      <c r="B76" s="301">
        <v>0.0909637550580846</v>
      </c>
      <c r="C76" s="301"/>
      <c r="D76" s="301">
        <v>0</v>
      </c>
      <c r="E76" s="301"/>
      <c r="F76" s="301">
        <v>0.0909637550580846</v>
      </c>
      <c r="G76" s="301"/>
      <c r="H76" s="301">
        <v>6</v>
      </c>
      <c r="I76" s="301"/>
      <c r="J76" s="301">
        <v>0.08550592975459952</v>
      </c>
      <c r="K76" s="301"/>
      <c r="L76" s="301">
        <v>0</v>
      </c>
      <c r="M76" s="301"/>
      <c r="N76" s="301">
        <v>40</v>
      </c>
      <c r="O76" s="301"/>
      <c r="P76" s="48">
        <f>0.01*43.6</f>
        <v>0.436</v>
      </c>
      <c r="Q76" s="301"/>
      <c r="R76" s="301">
        <v>0.05130355785275971</v>
      </c>
      <c r="S76" s="301"/>
      <c r="T76" s="301"/>
      <c r="U76" s="301"/>
      <c r="V76" s="301">
        <v>0.0022489230839565903</v>
      </c>
      <c r="W76" s="301"/>
      <c r="X76" s="301">
        <v>0.06375584496862734</v>
      </c>
      <c r="Y76" s="301"/>
      <c r="Z76" s="301">
        <v>97</v>
      </c>
      <c r="AA76" s="301"/>
      <c r="AB76" s="503">
        <v>151</v>
      </c>
      <c r="AC76" s="301"/>
      <c r="AD76" s="301">
        <v>0.04095574146991293</v>
      </c>
      <c r="AE76" s="301"/>
      <c r="AF76" s="301">
        <v>0.0004222241388650818</v>
      </c>
      <c r="AH76" s="246">
        <f>B76/AF76</f>
        <v>215.43949453622147</v>
      </c>
      <c r="AI76" s="451">
        <f>AF76/B76</f>
        <v>0.004641674462487526</v>
      </c>
    </row>
    <row r="77" spans="1:32" ht="12.75">
      <c r="A77" s="326"/>
      <c r="B77" s="301"/>
      <c r="C77" s="301"/>
      <c r="D77" s="301"/>
      <c r="E77" s="301"/>
      <c r="F77" s="301"/>
      <c r="G77" s="301"/>
      <c r="H77" s="301"/>
      <c r="I77" s="301"/>
      <c r="J77" s="301"/>
      <c r="K77" s="301"/>
      <c r="L77" s="301"/>
      <c r="M77" s="301"/>
      <c r="N77" s="301"/>
      <c r="O77" s="301"/>
      <c r="P77" s="48"/>
      <c r="Q77" s="301"/>
      <c r="R77" s="301"/>
      <c r="S77" s="301"/>
      <c r="T77" s="301"/>
      <c r="U77" s="301"/>
      <c r="V77" s="301"/>
      <c r="W77" s="301"/>
      <c r="X77" s="301"/>
      <c r="Y77" s="301"/>
      <c r="Z77" s="301"/>
      <c r="AA77" s="301"/>
      <c r="AB77" s="503"/>
      <c r="AC77" s="301"/>
      <c r="AD77" s="301"/>
      <c r="AE77" s="301"/>
      <c r="AF77" s="301"/>
    </row>
    <row r="78" spans="1:32" ht="12.75">
      <c r="A78" s="456" t="s">
        <v>558</v>
      </c>
      <c r="B78" s="301"/>
      <c r="C78" s="301"/>
      <c r="D78" s="301"/>
      <c r="E78" s="301"/>
      <c r="F78" s="301"/>
      <c r="G78" s="301"/>
      <c r="H78" s="301"/>
      <c r="I78" s="301"/>
      <c r="J78" s="301"/>
      <c r="K78" s="301"/>
      <c r="L78" s="301"/>
      <c r="M78" s="301"/>
      <c r="N78" s="301"/>
      <c r="O78" s="301"/>
      <c r="P78" s="48"/>
      <c r="Q78" s="301"/>
      <c r="R78" s="301"/>
      <c r="S78" s="301"/>
      <c r="T78" s="301"/>
      <c r="U78" s="301"/>
      <c r="V78" s="301"/>
      <c r="W78" s="301"/>
      <c r="X78" s="301"/>
      <c r="Y78" s="301"/>
      <c r="Z78" s="301"/>
      <c r="AA78" s="301"/>
      <c r="AB78" s="503"/>
      <c r="AC78" s="301"/>
      <c r="AD78" s="301"/>
      <c r="AE78" s="301"/>
      <c r="AF78" s="301"/>
    </row>
    <row r="79" spans="1:35" ht="12.75">
      <c r="A79" s="326" t="s">
        <v>156</v>
      </c>
      <c r="B79" s="301">
        <v>9.072462757556593</v>
      </c>
      <c r="C79" s="301"/>
      <c r="D79" s="301">
        <v>8</v>
      </c>
      <c r="E79" s="301"/>
      <c r="F79" s="301">
        <v>8.346665736952065</v>
      </c>
      <c r="G79" s="301"/>
      <c r="H79" s="301">
        <v>12.198975570771644</v>
      </c>
      <c r="I79" s="301"/>
      <c r="J79" s="301">
        <v>7.3284580227273155</v>
      </c>
      <c r="K79" s="301"/>
      <c r="L79" s="301">
        <v>49</v>
      </c>
      <c r="M79" s="301"/>
      <c r="N79" s="301">
        <v>43</v>
      </c>
      <c r="O79" s="301"/>
      <c r="P79" s="48">
        <f>0.01*93.5378446020088</f>
        <v>0.935378446020088</v>
      </c>
      <c r="Q79" s="301"/>
      <c r="R79" s="301">
        <v>0.5862766418181853</v>
      </c>
      <c r="S79" s="301"/>
      <c r="T79" s="301"/>
      <c r="U79" s="301"/>
      <c r="V79" s="301">
        <v>0.025699797997509495</v>
      </c>
      <c r="W79" s="301"/>
      <c r="X79" s="301">
        <v>0.7285764233303953</v>
      </c>
      <c r="Y79" s="301"/>
      <c r="Z79" s="301">
        <v>53.3</v>
      </c>
      <c r="AA79" s="301"/>
      <c r="AB79" s="503">
        <v>157</v>
      </c>
      <c r="AC79" s="301"/>
      <c r="AD79" s="301">
        <v>0.24734473479942717</v>
      </c>
      <c r="AE79" s="301"/>
      <c r="AF79" s="301">
        <v>0.004640614161340097</v>
      </c>
      <c r="AH79" s="246">
        <f>B79/AF79</f>
        <v>1955.0133758452105</v>
      </c>
      <c r="AI79" s="451">
        <f>AF79/B79</f>
        <v>0.0005115054517556281</v>
      </c>
    </row>
    <row r="80" spans="1:32" ht="12.75">
      <c r="A80" s="326"/>
      <c r="B80" s="301"/>
      <c r="C80" s="301"/>
      <c r="D80" s="301"/>
      <c r="E80" s="301"/>
      <c r="F80" s="301"/>
      <c r="G80" s="301"/>
      <c r="H80" s="301"/>
      <c r="I80" s="301"/>
      <c r="J80" s="301"/>
      <c r="K80" s="301"/>
      <c r="L80" s="301"/>
      <c r="M80" s="301"/>
      <c r="N80" s="301"/>
      <c r="O80" s="301"/>
      <c r="P80" s="48"/>
      <c r="Q80" s="301"/>
      <c r="R80" s="301"/>
      <c r="S80" s="301"/>
      <c r="T80" s="301"/>
      <c r="U80" s="301"/>
      <c r="V80" s="301"/>
      <c r="W80" s="301"/>
      <c r="X80" s="301"/>
      <c r="Y80" s="301"/>
      <c r="Z80" s="301"/>
      <c r="AA80" s="301"/>
      <c r="AB80" s="503"/>
      <c r="AC80" s="301"/>
      <c r="AD80" s="301"/>
      <c r="AE80" s="301"/>
      <c r="AF80" s="301"/>
    </row>
    <row r="81" spans="1:32" ht="12.75">
      <c r="A81" s="456" t="s">
        <v>559</v>
      </c>
      <c r="B81" s="301"/>
      <c r="C81" s="301"/>
      <c r="D81" s="301"/>
      <c r="E81" s="301"/>
      <c r="F81" s="301"/>
      <c r="G81" s="301"/>
      <c r="H81" s="301"/>
      <c r="I81" s="301"/>
      <c r="J81" s="301"/>
      <c r="K81" s="301"/>
      <c r="L81" s="301"/>
      <c r="M81" s="301"/>
      <c r="N81" s="301"/>
      <c r="O81" s="301"/>
      <c r="P81" s="48"/>
      <c r="Q81" s="301"/>
      <c r="R81" s="301"/>
      <c r="S81" s="301"/>
      <c r="T81" s="301"/>
      <c r="U81" s="301"/>
      <c r="V81" s="301"/>
      <c r="W81" s="301"/>
      <c r="X81" s="301"/>
      <c r="Y81" s="301"/>
      <c r="Z81" s="301"/>
      <c r="AA81" s="301"/>
      <c r="AB81" s="503"/>
      <c r="AC81" s="301"/>
      <c r="AD81" s="301"/>
      <c r="AE81" s="301"/>
      <c r="AF81" s="301"/>
    </row>
    <row r="82" spans="1:32" ht="12.75">
      <c r="A82" s="326" t="s">
        <v>156</v>
      </c>
      <c r="B82" s="301">
        <v>1.2353887991317893</v>
      </c>
      <c r="C82" s="301"/>
      <c r="D82" s="301">
        <v>8</v>
      </c>
      <c r="E82" s="301"/>
      <c r="F82" s="301">
        <v>1.1365576952012464</v>
      </c>
      <c r="G82" s="301"/>
      <c r="H82" s="301">
        <v>3.8721252909784467</v>
      </c>
      <c r="I82" s="301"/>
      <c r="J82" s="301">
        <v>1.092548757238797</v>
      </c>
      <c r="K82" s="301"/>
      <c r="L82" s="301">
        <v>9</v>
      </c>
      <c r="M82" s="301"/>
      <c r="N82" s="301">
        <v>51</v>
      </c>
      <c r="O82" s="301"/>
      <c r="P82" s="48">
        <f>0.01*64.6249421070801</f>
        <v>0.6462494210708011</v>
      </c>
      <c r="Q82" s="301"/>
      <c r="R82" s="301">
        <v>0.43701950289551883</v>
      </c>
      <c r="S82" s="301"/>
      <c r="T82" s="301"/>
      <c r="U82" s="301"/>
      <c r="V82" s="301">
        <v>0.019157019305009047</v>
      </c>
      <c r="W82" s="301"/>
      <c r="X82" s="301">
        <v>0.543091918787354</v>
      </c>
      <c r="Y82" s="301"/>
      <c r="Z82" s="301">
        <v>85</v>
      </c>
      <c r="AA82" s="301"/>
      <c r="AB82" s="503">
        <v>154.4</v>
      </c>
      <c r="AC82" s="301"/>
      <c r="AD82" s="301">
        <v>0.2989819501096184</v>
      </c>
      <c r="AE82" s="301"/>
      <c r="AF82" s="301">
        <v>0.0035174347071719814</v>
      </c>
    </row>
    <row r="83" spans="1:32" ht="12.75">
      <c r="A83" s="326" t="s">
        <v>560</v>
      </c>
      <c r="B83" s="301">
        <v>0.01503444443693835</v>
      </c>
      <c r="C83" s="301"/>
      <c r="D83" s="301">
        <v>16.317991631799167</v>
      </c>
      <c r="E83" s="301"/>
      <c r="F83" s="301">
        <v>0.012581125051831255</v>
      </c>
      <c r="G83" s="301"/>
      <c r="H83" s="301">
        <v>6</v>
      </c>
      <c r="I83" s="301"/>
      <c r="J83" s="301">
        <v>0.011826257548721379</v>
      </c>
      <c r="K83" s="301"/>
      <c r="L83" s="301">
        <v>0</v>
      </c>
      <c r="M83" s="301"/>
      <c r="N83" s="301">
        <v>32</v>
      </c>
      <c r="O83" s="301"/>
      <c r="P83" s="48">
        <f>0.01*46.510460251046</f>
        <v>0.46510460251046</v>
      </c>
      <c r="Q83" s="301"/>
      <c r="R83" s="301">
        <v>0.008041855133130538</v>
      </c>
      <c r="S83" s="301"/>
      <c r="T83" s="301"/>
      <c r="U83" s="301"/>
      <c r="V83" s="301">
        <v>0.0003525196770687359</v>
      </c>
      <c r="W83" s="301"/>
      <c r="X83" s="301">
        <v>0.009993756585060127</v>
      </c>
      <c r="Y83" s="301"/>
      <c r="Z83" s="301">
        <v>101</v>
      </c>
      <c r="AA83" s="301"/>
      <c r="AB83" s="503">
        <v>246</v>
      </c>
      <c r="AC83" s="301"/>
      <c r="AD83" s="301">
        <v>0.004103127703622247</v>
      </c>
      <c r="AE83" s="301"/>
      <c r="AF83" s="301">
        <v>4.0625026768537106E-05</v>
      </c>
    </row>
    <row r="84" spans="1:32" ht="12.75">
      <c r="A84" s="326" t="s">
        <v>561</v>
      </c>
      <c r="B84" s="301">
        <v>0.11853450657624862</v>
      </c>
      <c r="C84" s="301"/>
      <c r="D84" s="301">
        <v>4.999999999999993</v>
      </c>
      <c r="E84" s="301"/>
      <c r="F84" s="301">
        <v>0.1126077812474362</v>
      </c>
      <c r="G84" s="301"/>
      <c r="H84" s="301">
        <v>6</v>
      </c>
      <c r="I84" s="301"/>
      <c r="J84" s="301">
        <v>0.10585131437259003</v>
      </c>
      <c r="K84" s="301"/>
      <c r="L84" s="301">
        <v>0</v>
      </c>
      <c r="M84" s="301"/>
      <c r="N84" s="301">
        <v>32</v>
      </c>
      <c r="O84" s="301"/>
      <c r="P84" s="48">
        <f>0.01*39.276</f>
        <v>0.39276000000000005</v>
      </c>
      <c r="Q84" s="301"/>
      <c r="R84" s="301">
        <v>0.07197889377336122</v>
      </c>
      <c r="S84" s="301"/>
      <c r="T84" s="301"/>
      <c r="U84" s="301"/>
      <c r="V84" s="301">
        <v>0.0031552391791062452</v>
      </c>
      <c r="W84" s="301"/>
      <c r="X84" s="301">
        <v>0.08944945310807251</v>
      </c>
      <c r="Y84" s="301"/>
      <c r="Z84" s="301">
        <v>101</v>
      </c>
      <c r="AA84" s="301"/>
      <c r="AB84" s="503">
        <v>246</v>
      </c>
      <c r="AC84" s="301"/>
      <c r="AD84" s="301">
        <v>0.03672518196713546</v>
      </c>
      <c r="AE84" s="301"/>
      <c r="AF84" s="301">
        <v>0.0003636156630409451</v>
      </c>
    </row>
    <row r="85" spans="1:32" ht="12.75">
      <c r="A85" s="326" t="s">
        <v>562</v>
      </c>
      <c r="B85" s="301">
        <v>0.2115060595952162</v>
      </c>
      <c r="C85" s="301"/>
      <c r="D85" s="301">
        <v>15.254237288135588</v>
      </c>
      <c r="E85" s="301"/>
      <c r="F85" s="301">
        <v>0.17924242338577642</v>
      </c>
      <c r="G85" s="301"/>
      <c r="H85" s="301">
        <v>6</v>
      </c>
      <c r="I85" s="301"/>
      <c r="J85" s="301">
        <v>0.16848787798262985</v>
      </c>
      <c r="K85" s="301"/>
      <c r="L85" s="301">
        <v>0</v>
      </c>
      <c r="M85" s="301"/>
      <c r="N85" s="301">
        <v>29</v>
      </c>
      <c r="O85" s="301"/>
      <c r="P85" s="48">
        <f>0.01*43.4406779661017</f>
        <v>0.43440677966101704</v>
      </c>
      <c r="Q85" s="301"/>
      <c r="R85" s="301">
        <v>0.1196263933676672</v>
      </c>
      <c r="S85" s="301"/>
      <c r="T85" s="301"/>
      <c r="U85" s="301"/>
      <c r="V85" s="301">
        <v>0.005243896695568974</v>
      </c>
      <c r="W85" s="301"/>
      <c r="X85" s="301">
        <v>0.1486618493710326</v>
      </c>
      <c r="Y85" s="301"/>
      <c r="Z85" s="301">
        <v>71</v>
      </c>
      <c r="AA85" s="301"/>
      <c r="AB85" s="503">
        <v>155</v>
      </c>
      <c r="AC85" s="301"/>
      <c r="AD85" s="301">
        <v>0.06809671809898912</v>
      </c>
      <c r="AE85" s="301"/>
      <c r="AF85" s="301">
        <v>0.0009591087056195652</v>
      </c>
    </row>
    <row r="86" spans="1:32" ht="12.75">
      <c r="A86" s="326" t="s">
        <v>563</v>
      </c>
      <c r="B86" s="301">
        <v>0.5518227442082572</v>
      </c>
      <c r="C86" s="301"/>
      <c r="D86" s="301">
        <v>9.90990990990992</v>
      </c>
      <c r="E86" s="301"/>
      <c r="F86" s="301">
        <v>0.4971376073948262</v>
      </c>
      <c r="G86" s="301"/>
      <c r="H86" s="301">
        <v>6</v>
      </c>
      <c r="I86" s="301"/>
      <c r="J86" s="301">
        <v>0.4673093509511366</v>
      </c>
      <c r="K86" s="301"/>
      <c r="L86" s="301">
        <v>0</v>
      </c>
      <c r="M86" s="301"/>
      <c r="N86" s="301">
        <v>29</v>
      </c>
      <c r="O86" s="301"/>
      <c r="P86" s="48">
        <f>0.01*39.8738738738739</f>
        <v>0.398738738738739</v>
      </c>
      <c r="Q86" s="301"/>
      <c r="R86" s="301">
        <v>0.33178963917530696</v>
      </c>
      <c r="S86" s="301"/>
      <c r="T86" s="301"/>
      <c r="U86" s="301"/>
      <c r="V86" s="301">
        <v>0.014544203361109348</v>
      </c>
      <c r="W86" s="301"/>
      <c r="X86" s="301">
        <v>0.4123208931857694</v>
      </c>
      <c r="Y86" s="301"/>
      <c r="Z86" s="301">
        <v>71</v>
      </c>
      <c r="AA86" s="301"/>
      <c r="AB86" s="503">
        <v>155</v>
      </c>
      <c r="AC86" s="301"/>
      <c r="AD86" s="301">
        <v>0.18886957042702984</v>
      </c>
      <c r="AE86" s="301"/>
      <c r="AF86" s="301">
        <v>0.002660134794746899</v>
      </c>
    </row>
    <row r="87" spans="1:35" ht="12.75">
      <c r="A87" s="457" t="s">
        <v>134</v>
      </c>
      <c r="B87" s="421">
        <f>SUM(B82:B86)</f>
        <v>2.13228655394845</v>
      </c>
      <c r="C87" s="421"/>
      <c r="D87" s="421"/>
      <c r="E87" s="421"/>
      <c r="F87" s="421"/>
      <c r="G87" s="421"/>
      <c r="H87" s="421"/>
      <c r="I87" s="421"/>
      <c r="J87" s="421"/>
      <c r="K87" s="421"/>
      <c r="L87" s="421"/>
      <c r="M87" s="421"/>
      <c r="N87" s="421"/>
      <c r="O87" s="421"/>
      <c r="P87" s="422">
        <f>1-(R87/B87)</f>
        <v>0.5458132573449608</v>
      </c>
      <c r="Q87" s="421"/>
      <c r="R87" s="421">
        <f aca="true" t="shared" si="7" ref="R87:AF87">SUM(R82:R86)</f>
        <v>0.9684562843449849</v>
      </c>
      <c r="S87" s="421">
        <f t="shared" si="7"/>
        <v>0</v>
      </c>
      <c r="T87" s="421">
        <f t="shared" si="7"/>
        <v>0</v>
      </c>
      <c r="U87" s="421">
        <f t="shared" si="7"/>
        <v>0</v>
      </c>
      <c r="V87" s="421">
        <f t="shared" si="7"/>
        <v>0.04245287821786235</v>
      </c>
      <c r="W87" s="421">
        <f t="shared" si="7"/>
        <v>0</v>
      </c>
      <c r="X87" s="421">
        <f t="shared" si="7"/>
        <v>1.2035178710372885</v>
      </c>
      <c r="Y87" s="421">
        <f t="shared" si="7"/>
        <v>0</v>
      </c>
      <c r="Z87" s="421">
        <f t="shared" si="7"/>
        <v>429</v>
      </c>
      <c r="AA87" s="421">
        <f t="shared" si="7"/>
        <v>0</v>
      </c>
      <c r="AB87" s="500">
        <f t="shared" si="7"/>
        <v>956.4</v>
      </c>
      <c r="AC87" s="421">
        <f t="shared" si="7"/>
        <v>0</v>
      </c>
      <c r="AD87" s="421">
        <f t="shared" si="7"/>
        <v>0.5967765483063951</v>
      </c>
      <c r="AE87" s="421">
        <f t="shared" si="7"/>
        <v>0</v>
      </c>
      <c r="AF87" s="421">
        <f t="shared" si="7"/>
        <v>0.007540918897347928</v>
      </c>
      <c r="AH87" s="453">
        <f>B87/AF87</f>
        <v>282.762165059003</v>
      </c>
      <c r="AI87" s="454">
        <f>AF87/B87</f>
        <v>0.0035365410354363832</v>
      </c>
    </row>
    <row r="88" spans="1:32" ht="12.75">
      <c r="A88" s="326"/>
      <c r="B88" s="301"/>
      <c r="C88" s="301"/>
      <c r="D88" s="301"/>
      <c r="E88" s="301"/>
      <c r="F88" s="301"/>
      <c r="G88" s="301"/>
      <c r="H88" s="301"/>
      <c r="I88" s="301"/>
      <c r="J88" s="301"/>
      <c r="K88" s="301"/>
      <c r="L88" s="301"/>
      <c r="M88" s="301"/>
      <c r="N88" s="301"/>
      <c r="O88" s="301"/>
      <c r="P88" s="48"/>
      <c r="Q88" s="301"/>
      <c r="R88" s="301"/>
      <c r="S88" s="301"/>
      <c r="T88" s="301"/>
      <c r="U88" s="301"/>
      <c r="V88" s="301"/>
      <c r="W88" s="301"/>
      <c r="X88" s="301"/>
      <c r="Y88" s="301"/>
      <c r="Z88" s="301"/>
      <c r="AA88" s="301"/>
      <c r="AB88" s="503"/>
      <c r="AC88" s="301"/>
      <c r="AD88" s="301"/>
      <c r="AE88" s="301"/>
      <c r="AF88" s="301"/>
    </row>
    <row r="89" spans="1:32" ht="12.75">
      <c r="A89" s="456" t="s">
        <v>564</v>
      </c>
      <c r="B89" s="301"/>
      <c r="C89" s="301"/>
      <c r="D89" s="301"/>
      <c r="E89" s="301"/>
      <c r="F89" s="301"/>
      <c r="G89" s="301"/>
      <c r="H89" s="301"/>
      <c r="I89" s="301"/>
      <c r="J89" s="301"/>
      <c r="K89" s="301"/>
      <c r="L89" s="301"/>
      <c r="M89" s="301"/>
      <c r="N89" s="301"/>
      <c r="O89" s="301"/>
      <c r="P89" s="48"/>
      <c r="Q89" s="301"/>
      <c r="R89" s="301"/>
      <c r="S89" s="301"/>
      <c r="T89" s="301"/>
      <c r="U89" s="301"/>
      <c r="V89" s="301"/>
      <c r="W89" s="301"/>
      <c r="X89" s="301"/>
      <c r="Y89" s="301"/>
      <c r="Z89" s="301"/>
      <c r="AA89" s="301"/>
      <c r="AB89" s="503"/>
      <c r="AC89" s="301"/>
      <c r="AD89" s="301"/>
      <c r="AE89" s="301"/>
      <c r="AF89" s="301"/>
    </row>
    <row r="90" spans="1:35" ht="12.75">
      <c r="A90" s="326" t="s">
        <v>158</v>
      </c>
      <c r="B90" s="301">
        <v>0.058353379488455114</v>
      </c>
      <c r="C90" s="301"/>
      <c r="D90" s="301">
        <v>12.280701754385959</v>
      </c>
      <c r="E90" s="301"/>
      <c r="F90" s="301">
        <v>0.05118717498987291</v>
      </c>
      <c r="G90" s="301"/>
      <c r="H90" s="301">
        <v>6</v>
      </c>
      <c r="I90" s="301"/>
      <c r="J90" s="301">
        <v>0.048115944490480546</v>
      </c>
      <c r="K90" s="301"/>
      <c r="L90" s="301">
        <v>0</v>
      </c>
      <c r="M90" s="301"/>
      <c r="N90" s="301">
        <v>30</v>
      </c>
      <c r="O90" s="301"/>
      <c r="P90" s="48">
        <f>0.01*42.280701754386</f>
        <v>0.42280701754386</v>
      </c>
      <c r="Q90" s="301"/>
      <c r="R90" s="301">
        <v>0.03368116114333638</v>
      </c>
      <c r="S90" s="301"/>
      <c r="T90" s="301"/>
      <c r="U90" s="301"/>
      <c r="V90" s="301">
        <v>0.001476434461077759</v>
      </c>
      <c r="W90" s="301"/>
      <c r="X90" s="301">
        <v>0.041856178754323924</v>
      </c>
      <c r="Y90" s="301"/>
      <c r="Z90" s="301">
        <v>73.5</v>
      </c>
      <c r="AA90" s="301"/>
      <c r="AB90" s="503">
        <v>139.5</v>
      </c>
      <c r="AC90" s="301"/>
      <c r="AD90" s="301">
        <v>0.022053255472708304</v>
      </c>
      <c r="AE90" s="301"/>
      <c r="AF90" s="301">
        <v>0.00030004429214569117</v>
      </c>
      <c r="AH90" s="246">
        <f>B90/AF90</f>
        <v>194.48255146317106</v>
      </c>
      <c r="AI90" s="451">
        <f>AF90/B90</f>
        <v>0.005141849448583406</v>
      </c>
    </row>
    <row r="91" spans="1:32" ht="12.75">
      <c r="A91" s="326"/>
      <c r="B91" s="301"/>
      <c r="C91" s="301"/>
      <c r="D91" s="301"/>
      <c r="E91" s="301"/>
      <c r="F91" s="301"/>
      <c r="G91" s="301"/>
      <c r="H91" s="301"/>
      <c r="I91" s="301"/>
      <c r="J91" s="301"/>
      <c r="K91" s="301"/>
      <c r="L91" s="301"/>
      <c r="M91" s="301"/>
      <c r="N91" s="301"/>
      <c r="O91" s="301"/>
      <c r="P91" s="48"/>
      <c r="Q91" s="301"/>
      <c r="R91" s="301"/>
      <c r="S91" s="301"/>
      <c r="T91" s="301"/>
      <c r="U91" s="301"/>
      <c r="V91" s="301"/>
      <c r="W91" s="301"/>
      <c r="X91" s="301"/>
      <c r="Y91" s="301"/>
      <c r="Z91" s="301"/>
      <c r="AA91" s="301"/>
      <c r="AB91" s="503"/>
      <c r="AC91" s="301"/>
      <c r="AD91" s="301"/>
      <c r="AE91" s="301"/>
      <c r="AF91" s="301"/>
    </row>
    <row r="92" spans="1:32" ht="12.75">
      <c r="A92" s="456" t="s">
        <v>565</v>
      </c>
      <c r="B92" s="301"/>
      <c r="C92" s="301"/>
      <c r="D92" s="301"/>
      <c r="E92" s="301"/>
      <c r="F92" s="301"/>
      <c r="G92" s="301"/>
      <c r="H92" s="301"/>
      <c r="I92" s="301"/>
      <c r="J92" s="301"/>
      <c r="K92" s="301"/>
      <c r="L92" s="301"/>
      <c r="M92" s="301"/>
      <c r="N92" s="301"/>
      <c r="O92" s="301"/>
      <c r="P92" s="48"/>
      <c r="Q92" s="301"/>
      <c r="R92" s="301"/>
      <c r="S92" s="301"/>
      <c r="T92" s="301"/>
      <c r="U92" s="301"/>
      <c r="V92" s="301"/>
      <c r="W92" s="301"/>
      <c r="X92" s="301"/>
      <c r="Y92" s="301"/>
      <c r="Z92" s="301"/>
      <c r="AA92" s="301"/>
      <c r="AB92" s="503"/>
      <c r="AC92" s="301"/>
      <c r="AD92" s="301"/>
      <c r="AE92" s="301"/>
      <c r="AF92" s="301"/>
    </row>
    <row r="93" spans="1:35" ht="12.75">
      <c r="A93" s="326" t="s">
        <v>156</v>
      </c>
      <c r="B93" s="301">
        <v>1.6981286356019467</v>
      </c>
      <c r="C93" s="301"/>
      <c r="D93" s="301">
        <v>8</v>
      </c>
      <c r="E93" s="301"/>
      <c r="F93" s="301">
        <v>1.5622783447537905</v>
      </c>
      <c r="G93" s="301"/>
      <c r="H93" s="301">
        <v>22.76092400035521</v>
      </c>
      <c r="I93" s="301"/>
      <c r="J93" s="301">
        <v>1.2066893580303728</v>
      </c>
      <c r="K93" s="301"/>
      <c r="L93" s="301">
        <v>54</v>
      </c>
      <c r="M93" s="301"/>
      <c r="N93" s="301">
        <v>43</v>
      </c>
      <c r="O93" s="301"/>
      <c r="P93" s="48">
        <f>0.01*97.8682015024098</f>
        <v>0.978682015024098</v>
      </c>
      <c r="Q93" s="301"/>
      <c r="R93" s="301">
        <v>0.03620068074091125</v>
      </c>
      <c r="S93" s="301"/>
      <c r="T93" s="301"/>
      <c r="U93" s="301"/>
      <c r="V93" s="301">
        <v>0.0015868791557659728</v>
      </c>
      <c r="W93" s="301"/>
      <c r="X93" s="301">
        <v>0.044987230626387445</v>
      </c>
      <c r="Y93" s="301"/>
      <c r="Z93" s="301">
        <v>62.5</v>
      </c>
      <c r="AA93" s="301"/>
      <c r="AB93" s="503">
        <v>173.5</v>
      </c>
      <c r="AC93" s="301"/>
      <c r="AD93" s="301">
        <v>0.016205774721321124</v>
      </c>
      <c r="AE93" s="301"/>
      <c r="AF93" s="301">
        <v>0.000259292395541138</v>
      </c>
      <c r="AH93" s="246">
        <f>B93/AF93</f>
        <v>6549.0876894325675</v>
      </c>
      <c r="AI93" s="451">
        <f>AF93/B93</f>
        <v>0.00015269302342883165</v>
      </c>
    </row>
    <row r="94" spans="1:32" ht="12.75">
      <c r="A94" s="326"/>
      <c r="B94" s="301"/>
      <c r="C94" s="301"/>
      <c r="D94" s="301"/>
      <c r="E94" s="301"/>
      <c r="F94" s="301"/>
      <c r="G94" s="301"/>
      <c r="H94" s="301"/>
      <c r="I94" s="301"/>
      <c r="J94" s="301"/>
      <c r="K94" s="301"/>
      <c r="L94" s="301"/>
      <c r="M94" s="301"/>
      <c r="N94" s="301"/>
      <c r="O94" s="301"/>
      <c r="P94" s="48"/>
      <c r="Q94" s="301"/>
      <c r="R94" s="301"/>
      <c r="S94" s="301"/>
      <c r="T94" s="301"/>
      <c r="U94" s="301"/>
      <c r="V94" s="301"/>
      <c r="W94" s="301"/>
      <c r="X94" s="301"/>
      <c r="Y94" s="301"/>
      <c r="Z94" s="301"/>
      <c r="AA94" s="301"/>
      <c r="AB94" s="503"/>
      <c r="AC94" s="301"/>
      <c r="AD94" s="301"/>
      <c r="AE94" s="301"/>
      <c r="AF94" s="301"/>
    </row>
    <row r="95" spans="1:32" ht="12.75">
      <c r="A95" s="456" t="s">
        <v>176</v>
      </c>
      <c r="B95" s="301"/>
      <c r="C95" s="301"/>
      <c r="D95" s="301"/>
      <c r="E95" s="301"/>
      <c r="F95" s="301"/>
      <c r="G95" s="301"/>
      <c r="H95" s="301"/>
      <c r="I95" s="301"/>
      <c r="J95" s="301"/>
      <c r="K95" s="301"/>
      <c r="L95" s="301"/>
      <c r="M95" s="301"/>
      <c r="N95" s="301"/>
      <c r="O95" s="301"/>
      <c r="P95" s="48"/>
      <c r="Q95" s="301"/>
      <c r="R95" s="301"/>
      <c r="S95" s="301"/>
      <c r="T95" s="301"/>
      <c r="U95" s="301"/>
      <c r="V95" s="301"/>
      <c r="W95" s="301"/>
      <c r="X95" s="301"/>
      <c r="Y95" s="301"/>
      <c r="Z95" s="301"/>
      <c r="AA95" s="301"/>
      <c r="AB95" s="503"/>
      <c r="AC95" s="301"/>
      <c r="AD95" s="301"/>
      <c r="AE95" s="301"/>
      <c r="AF95" s="301"/>
    </row>
    <row r="96" spans="1:32" ht="12.75">
      <c r="A96" s="326" t="s">
        <v>158</v>
      </c>
      <c r="B96" s="301">
        <v>0.21052285938237514</v>
      </c>
      <c r="C96" s="301"/>
      <c r="D96" s="301">
        <v>8</v>
      </c>
      <c r="E96" s="301"/>
      <c r="F96" s="301">
        <v>0.19368103063178516</v>
      </c>
      <c r="G96" s="301"/>
      <c r="H96" s="301">
        <v>9.753979637346216</v>
      </c>
      <c r="I96" s="301"/>
      <c r="J96" s="301">
        <v>0.17478942234255856</v>
      </c>
      <c r="K96" s="301"/>
      <c r="L96" s="301">
        <v>4</v>
      </c>
      <c r="M96" s="301"/>
      <c r="N96" s="301">
        <v>20</v>
      </c>
      <c r="O96" s="301"/>
      <c r="P96" s="48">
        <f>0.01*36.8999825624325</f>
        <v>0.368999825624325</v>
      </c>
      <c r="Q96" s="301"/>
      <c r="R96" s="301">
        <v>0.1328399609803445</v>
      </c>
      <c r="S96" s="301"/>
      <c r="T96" s="301"/>
      <c r="U96" s="301"/>
      <c r="V96" s="301">
        <v>0.00582312157722058</v>
      </c>
      <c r="W96" s="301"/>
      <c r="X96" s="301">
        <v>0.16508258515341484</v>
      </c>
      <c r="Y96" s="301"/>
      <c r="Z96" s="301">
        <v>64</v>
      </c>
      <c r="AA96" s="301"/>
      <c r="AB96" s="503">
        <v>123</v>
      </c>
      <c r="AC96" s="301"/>
      <c r="AD96" s="301">
        <v>0.08589662967332154</v>
      </c>
      <c r="AE96" s="301"/>
      <c r="AF96" s="301">
        <v>0.001342134838645649</v>
      </c>
    </row>
    <row r="97" spans="1:32" ht="12.75">
      <c r="A97" s="326" t="s">
        <v>156</v>
      </c>
      <c r="B97" s="301">
        <v>0.45534300810047873</v>
      </c>
      <c r="C97" s="301"/>
      <c r="D97" s="301">
        <v>4.761904761904767</v>
      </c>
      <c r="E97" s="301"/>
      <c r="F97" s="301">
        <v>0.4336600077147417</v>
      </c>
      <c r="G97" s="301"/>
      <c r="H97" s="301">
        <v>6</v>
      </c>
      <c r="I97" s="301"/>
      <c r="J97" s="301">
        <v>0.4076404072518572</v>
      </c>
      <c r="K97" s="301"/>
      <c r="L97" s="301">
        <v>0</v>
      </c>
      <c r="M97" s="301"/>
      <c r="N97" s="301">
        <v>24</v>
      </c>
      <c r="O97" s="301"/>
      <c r="P97" s="48">
        <f>0.01*31.9619047619048</f>
        <v>0.319619047619048</v>
      </c>
      <c r="Q97" s="301"/>
      <c r="R97" s="301">
        <v>0.3098067095114115</v>
      </c>
      <c r="S97" s="301"/>
      <c r="T97" s="301"/>
      <c r="U97" s="301"/>
      <c r="V97" s="301">
        <v>0.013580568088171463</v>
      </c>
      <c r="W97" s="301"/>
      <c r="X97" s="301">
        <v>0.3850023150156168</v>
      </c>
      <c r="Y97" s="301"/>
      <c r="Z97" s="301">
        <v>97</v>
      </c>
      <c r="AA97" s="301"/>
      <c r="AB97" s="503">
        <v>151</v>
      </c>
      <c r="AC97" s="301"/>
      <c r="AD97" s="301">
        <v>0.2473193679239393</v>
      </c>
      <c r="AE97" s="301"/>
      <c r="AF97" s="301">
        <v>0.0025496842054014363</v>
      </c>
    </row>
    <row r="98" spans="1:35" ht="12.75">
      <c r="A98" s="457" t="s">
        <v>134</v>
      </c>
      <c r="B98" s="421">
        <f>SUM(B96:B97)</f>
        <v>0.6658658674828539</v>
      </c>
      <c r="C98" s="421"/>
      <c r="D98" s="421"/>
      <c r="E98" s="421"/>
      <c r="F98" s="421"/>
      <c r="G98" s="421"/>
      <c r="H98" s="421"/>
      <c r="I98" s="421"/>
      <c r="J98" s="421"/>
      <c r="K98" s="421"/>
      <c r="L98" s="421"/>
      <c r="M98" s="421"/>
      <c r="N98" s="421"/>
      <c r="O98" s="421"/>
      <c r="P98" s="422">
        <f>1-(R98/B98)</f>
        <v>0.3352314751241485</v>
      </c>
      <c r="Q98" s="421"/>
      <c r="R98" s="421">
        <f aca="true" t="shared" si="8" ref="R98:AF98">SUM(R96:R97)</f>
        <v>0.442646670491756</v>
      </c>
      <c r="S98" s="421">
        <f t="shared" si="8"/>
        <v>0</v>
      </c>
      <c r="T98" s="421">
        <f t="shared" si="8"/>
        <v>0</v>
      </c>
      <c r="U98" s="421">
        <f t="shared" si="8"/>
        <v>0</v>
      </c>
      <c r="V98" s="421">
        <f t="shared" si="8"/>
        <v>0.019403689665392042</v>
      </c>
      <c r="W98" s="421">
        <f t="shared" si="8"/>
        <v>0</v>
      </c>
      <c r="X98" s="421">
        <f t="shared" si="8"/>
        <v>0.5500849001690317</v>
      </c>
      <c r="Y98" s="421">
        <f t="shared" si="8"/>
        <v>0</v>
      </c>
      <c r="Z98" s="421">
        <f t="shared" si="8"/>
        <v>161</v>
      </c>
      <c r="AA98" s="421">
        <f t="shared" si="8"/>
        <v>0</v>
      </c>
      <c r="AB98" s="500">
        <f t="shared" si="8"/>
        <v>274</v>
      </c>
      <c r="AC98" s="421">
        <f t="shared" si="8"/>
        <v>0</v>
      </c>
      <c r="AD98" s="421">
        <f t="shared" si="8"/>
        <v>0.33321599759726084</v>
      </c>
      <c r="AE98" s="421">
        <f t="shared" si="8"/>
        <v>0</v>
      </c>
      <c r="AF98" s="421">
        <f t="shared" si="8"/>
        <v>0.0038918190440470853</v>
      </c>
      <c r="AH98" s="453">
        <f>B98/AF98</f>
        <v>171.09373790165304</v>
      </c>
      <c r="AI98" s="454">
        <f>AF98/B98</f>
        <v>0.005844749271740227</v>
      </c>
    </row>
    <row r="99" spans="1:32" ht="12.75">
      <c r="A99" s="341"/>
      <c r="B99" s="301"/>
      <c r="C99" s="301"/>
      <c r="D99" s="301"/>
      <c r="E99" s="301"/>
      <c r="F99" s="301"/>
      <c r="G99" s="301"/>
      <c r="H99" s="301"/>
      <c r="I99" s="301"/>
      <c r="J99" s="301"/>
      <c r="K99" s="301"/>
      <c r="L99" s="301"/>
      <c r="M99" s="301"/>
      <c r="N99" s="301"/>
      <c r="O99" s="301"/>
      <c r="P99" s="48"/>
      <c r="Q99" s="301"/>
      <c r="R99" s="301"/>
      <c r="S99" s="301"/>
      <c r="T99" s="301"/>
      <c r="U99" s="301"/>
      <c r="V99" s="301"/>
      <c r="W99" s="301"/>
      <c r="X99" s="301"/>
      <c r="Y99" s="301"/>
      <c r="Z99" s="301"/>
      <c r="AA99" s="301"/>
      <c r="AB99" s="503"/>
      <c r="AC99" s="301"/>
      <c r="AD99" s="301"/>
      <c r="AE99" s="301"/>
      <c r="AF99" s="301"/>
    </row>
    <row r="100" spans="1:32" ht="12.75">
      <c r="A100" s="13"/>
      <c r="B100" s="301"/>
      <c r="C100" s="301"/>
      <c r="D100" s="301"/>
      <c r="E100" s="301"/>
      <c r="F100" s="301"/>
      <c r="G100" s="301"/>
      <c r="H100" s="301"/>
      <c r="I100" s="301"/>
      <c r="J100" s="301"/>
      <c r="K100" s="301"/>
      <c r="L100" s="301"/>
      <c r="M100" s="301"/>
      <c r="N100" s="301"/>
      <c r="O100" s="301"/>
      <c r="P100" s="48"/>
      <c r="Q100" s="301"/>
      <c r="R100" s="301"/>
      <c r="S100" s="301"/>
      <c r="T100" s="301"/>
      <c r="U100" s="301"/>
      <c r="V100" s="301"/>
      <c r="W100" s="301"/>
      <c r="X100" s="301"/>
      <c r="Y100" s="301"/>
      <c r="Z100" s="301"/>
      <c r="AA100" s="301"/>
      <c r="AB100" s="503"/>
      <c r="AC100" s="301"/>
      <c r="AD100" s="301"/>
      <c r="AE100" s="301"/>
      <c r="AF100" s="301"/>
    </row>
    <row r="101" spans="1:32" ht="12.75">
      <c r="A101" s="8" t="s">
        <v>519</v>
      </c>
      <c r="B101" s="301"/>
      <c r="C101" s="301"/>
      <c r="D101" s="301"/>
      <c r="E101" s="301"/>
      <c r="F101" s="301"/>
      <c r="G101" s="301"/>
      <c r="H101" s="301"/>
      <c r="I101" s="301"/>
      <c r="J101" s="301"/>
      <c r="K101" s="301"/>
      <c r="L101" s="301"/>
      <c r="M101" s="301"/>
      <c r="N101" s="301"/>
      <c r="O101" s="301"/>
      <c r="P101" s="48"/>
      <c r="Q101" s="301"/>
      <c r="R101" s="301"/>
      <c r="S101" s="301"/>
      <c r="T101" s="301"/>
      <c r="U101" s="301"/>
      <c r="V101" s="301"/>
      <c r="W101" s="301"/>
      <c r="X101" s="301"/>
      <c r="Y101" s="301"/>
      <c r="Z101" s="301"/>
      <c r="AA101" s="301"/>
      <c r="AB101" s="503"/>
      <c r="AC101" s="301"/>
      <c r="AD101" s="301"/>
      <c r="AE101" s="301"/>
      <c r="AF101" s="301"/>
    </row>
    <row r="102" spans="1:32" ht="12.75">
      <c r="A102" s="13" t="s">
        <v>156</v>
      </c>
      <c r="B102" s="301">
        <v>9.276666051914415</v>
      </c>
      <c r="C102" s="301"/>
      <c r="D102" s="301">
        <v>3</v>
      </c>
      <c r="E102" s="301"/>
      <c r="F102" s="301">
        <v>8.998366070356983</v>
      </c>
      <c r="G102" s="301"/>
      <c r="H102" s="301">
        <v>11.569651802974827</v>
      </c>
      <c r="I102" s="301"/>
      <c r="J102" s="301">
        <v>7.957286448059652</v>
      </c>
      <c r="K102" s="301"/>
      <c r="L102" s="301">
        <v>27</v>
      </c>
      <c r="M102" s="301"/>
      <c r="N102" s="301">
        <v>36</v>
      </c>
      <c r="O102" s="301"/>
      <c r="P102" s="48">
        <f>0.01*68.2623480320877</f>
        <v>0.682623480320877</v>
      </c>
      <c r="Q102" s="301"/>
      <c r="R102" s="301">
        <v>2.944195985782071</v>
      </c>
      <c r="S102" s="301"/>
      <c r="T102" s="301"/>
      <c r="U102" s="301"/>
      <c r="V102" s="301">
        <v>0.1290606459520908</v>
      </c>
      <c r="W102" s="301"/>
      <c r="X102" s="301">
        <v>3.658804782418798</v>
      </c>
      <c r="Y102" s="301"/>
      <c r="Z102" s="301">
        <v>88</v>
      </c>
      <c r="AA102" s="301"/>
      <c r="AB102" s="503">
        <v>188</v>
      </c>
      <c r="AC102" s="301"/>
      <c r="AD102" s="301">
        <v>1.712632025813054</v>
      </c>
      <c r="AE102" s="301"/>
      <c r="AF102" s="301">
        <v>0.019461727566057435</v>
      </c>
    </row>
    <row r="103" spans="1:32" ht="12.75">
      <c r="A103" s="13" t="s">
        <v>174</v>
      </c>
      <c r="B103" s="301">
        <v>56.996628244499504</v>
      </c>
      <c r="C103" s="301"/>
      <c r="D103" s="301">
        <v>35.4479055826456</v>
      </c>
      <c r="E103" s="301"/>
      <c r="F103" s="301">
        <v>36.77153684171021</v>
      </c>
      <c r="G103" s="301"/>
      <c r="H103" s="301">
        <v>6</v>
      </c>
      <c r="I103" s="301"/>
      <c r="J103" s="301">
        <v>34.56524463120759</v>
      </c>
      <c r="K103" s="301"/>
      <c r="L103" s="301">
        <v>0</v>
      </c>
      <c r="M103" s="301"/>
      <c r="N103" s="301">
        <v>10</v>
      </c>
      <c r="O103" s="301"/>
      <c r="P103" s="48">
        <f>0.01*45.3889281229182</f>
        <v>0.45388928122918204</v>
      </c>
      <c r="Q103" s="301"/>
      <c r="R103" s="301">
        <v>31.108720168086837</v>
      </c>
      <c r="S103" s="301"/>
      <c r="T103" s="301">
        <v>3.5757149618490613</v>
      </c>
      <c r="U103" s="301"/>
      <c r="V103" s="301">
        <v>1.3636699251764093</v>
      </c>
      <c r="W103" s="301"/>
      <c r="X103" s="301">
        <v>38.65936054378861</v>
      </c>
      <c r="Y103" s="301"/>
      <c r="Z103" s="301">
        <v>117</v>
      </c>
      <c r="AA103" s="301"/>
      <c r="AB103" s="503">
        <v>249</v>
      </c>
      <c r="AC103" s="301"/>
      <c r="AD103" s="301">
        <v>18.165241701298264</v>
      </c>
      <c r="AE103" s="301"/>
      <c r="AF103" s="301">
        <v>0.15525847607947232</v>
      </c>
    </row>
    <row r="104" spans="1:35" ht="12.75">
      <c r="A104" s="228" t="s">
        <v>134</v>
      </c>
      <c r="B104" s="421">
        <f>SUM(B102:B103)</f>
        <v>66.27329429641392</v>
      </c>
      <c r="C104" s="421"/>
      <c r="D104" s="421"/>
      <c r="E104" s="421"/>
      <c r="F104" s="421"/>
      <c r="G104" s="421"/>
      <c r="H104" s="421"/>
      <c r="I104" s="421"/>
      <c r="J104" s="421"/>
      <c r="K104" s="421"/>
      <c r="L104" s="421"/>
      <c r="M104" s="421"/>
      <c r="N104" s="421"/>
      <c r="O104" s="421"/>
      <c r="P104" s="422">
        <f>1-(R104/B104)</f>
        <v>0.4861743856950306</v>
      </c>
      <c r="Q104" s="421"/>
      <c r="R104" s="421">
        <f aca="true" t="shared" si="9" ref="R104:AF104">SUM(R102:R103)</f>
        <v>34.05291615386891</v>
      </c>
      <c r="S104" s="421">
        <f t="shared" si="9"/>
        <v>0</v>
      </c>
      <c r="T104" s="421">
        <f t="shared" si="9"/>
        <v>3.5757149618490613</v>
      </c>
      <c r="U104" s="421">
        <f t="shared" si="9"/>
        <v>0</v>
      </c>
      <c r="V104" s="421">
        <f t="shared" si="9"/>
        <v>1.4927305711285002</v>
      </c>
      <c r="W104" s="421">
        <f t="shared" si="9"/>
        <v>0</v>
      </c>
      <c r="X104" s="421">
        <f t="shared" si="9"/>
        <v>42.31816532620741</v>
      </c>
      <c r="Y104" s="421">
        <f t="shared" si="9"/>
        <v>0</v>
      </c>
      <c r="Z104" s="421">
        <f t="shared" si="9"/>
        <v>205</v>
      </c>
      <c r="AA104" s="421">
        <f t="shared" si="9"/>
        <v>0</v>
      </c>
      <c r="AB104" s="500">
        <f t="shared" si="9"/>
        <v>437</v>
      </c>
      <c r="AC104" s="421">
        <f t="shared" si="9"/>
        <v>0</v>
      </c>
      <c r="AD104" s="421">
        <f t="shared" si="9"/>
        <v>19.877873727111318</v>
      </c>
      <c r="AE104" s="421">
        <f t="shared" si="9"/>
        <v>0</v>
      </c>
      <c r="AF104" s="421">
        <f t="shared" si="9"/>
        <v>0.17472020364552976</v>
      </c>
      <c r="AH104" s="453">
        <f>B104/AF104</f>
        <v>379.3109950287626</v>
      </c>
      <c r="AI104" s="454">
        <f>AF104/B104</f>
        <v>0.002636359117204529</v>
      </c>
    </row>
    <row r="105" spans="1:32" ht="12.75">
      <c r="A105" s="13"/>
      <c r="B105" s="301"/>
      <c r="C105" s="301"/>
      <c r="D105" s="301"/>
      <c r="E105" s="301"/>
      <c r="F105" s="301"/>
      <c r="G105" s="301"/>
      <c r="H105" s="301"/>
      <c r="I105" s="301"/>
      <c r="J105" s="301"/>
      <c r="K105" s="301"/>
      <c r="L105" s="301"/>
      <c r="M105" s="301"/>
      <c r="N105" s="301"/>
      <c r="O105" s="301"/>
      <c r="P105" s="48"/>
      <c r="Q105" s="301"/>
      <c r="R105" s="301"/>
      <c r="S105" s="301"/>
      <c r="T105" s="301"/>
      <c r="U105" s="301"/>
      <c r="V105" s="301"/>
      <c r="W105" s="301"/>
      <c r="X105" s="301"/>
      <c r="Y105" s="301"/>
      <c r="Z105" s="301"/>
      <c r="AA105" s="301"/>
      <c r="AB105" s="503"/>
      <c r="AC105" s="301"/>
      <c r="AD105" s="301"/>
      <c r="AE105" s="301"/>
      <c r="AF105" s="301"/>
    </row>
    <row r="106" spans="1:32" ht="12.75">
      <c r="A106" s="8" t="s">
        <v>510</v>
      </c>
      <c r="B106" s="301"/>
      <c r="C106" s="301"/>
      <c r="D106" s="301"/>
      <c r="E106" s="301"/>
      <c r="F106" s="301"/>
      <c r="G106" s="301"/>
      <c r="H106" s="301"/>
      <c r="I106" s="301"/>
      <c r="J106" s="301"/>
      <c r="K106" s="301"/>
      <c r="L106" s="301"/>
      <c r="M106" s="301"/>
      <c r="N106" s="301"/>
      <c r="O106" s="301"/>
      <c r="P106" s="48"/>
      <c r="Q106" s="301"/>
      <c r="R106" s="301"/>
      <c r="S106" s="301"/>
      <c r="T106" s="301"/>
      <c r="U106" s="301"/>
      <c r="V106" s="301"/>
      <c r="W106" s="301"/>
      <c r="X106" s="301"/>
      <c r="Y106" s="301"/>
      <c r="Z106" s="301"/>
      <c r="AA106" s="301"/>
      <c r="AB106" s="503"/>
      <c r="AC106" s="301"/>
      <c r="AD106" s="301"/>
      <c r="AE106" s="301"/>
      <c r="AF106" s="301"/>
    </row>
    <row r="107" spans="1:35" ht="12.75">
      <c r="A107" s="13" t="s">
        <v>156</v>
      </c>
      <c r="B107" s="301">
        <v>24.74285285156528</v>
      </c>
      <c r="C107" s="301"/>
      <c r="D107" s="301">
        <v>0</v>
      </c>
      <c r="E107" s="301"/>
      <c r="F107" s="301">
        <v>24.74285285156528</v>
      </c>
      <c r="G107" s="301"/>
      <c r="H107" s="301">
        <v>7.966253243459346</v>
      </c>
      <c r="I107" s="301"/>
      <c r="J107" s="301">
        <v>22.771774533753092</v>
      </c>
      <c r="K107" s="301"/>
      <c r="L107" s="301">
        <v>36</v>
      </c>
      <c r="M107" s="301"/>
      <c r="N107" s="301">
        <v>20</v>
      </c>
      <c r="O107" s="301"/>
      <c r="P107" s="48">
        <f>0.01*59.5051514271221</f>
        <v>0.595051514271221</v>
      </c>
      <c r="Q107" s="301"/>
      <c r="R107" s="301">
        <v>10.019580794851361</v>
      </c>
      <c r="S107" s="301"/>
      <c r="T107" s="301"/>
      <c r="U107" s="301"/>
      <c r="V107" s="301">
        <v>0.43921450059622397</v>
      </c>
      <c r="W107" s="301"/>
      <c r="X107" s="301">
        <v>12.45151148465265</v>
      </c>
      <c r="Y107" s="301"/>
      <c r="Z107" s="301">
        <v>139</v>
      </c>
      <c r="AA107" s="301"/>
      <c r="AB107" s="503">
        <v>156</v>
      </c>
      <c r="AC107" s="301"/>
      <c r="AD107" s="301">
        <v>11.094616002350762</v>
      </c>
      <c r="AE107" s="301"/>
      <c r="AF107" s="301">
        <v>0.07981738131187596</v>
      </c>
      <c r="AH107" s="246">
        <f>B107/AF107</f>
        <v>309.99329275018215</v>
      </c>
      <c r="AI107" s="451">
        <f>AF107/B107</f>
        <v>0.003225876247606046</v>
      </c>
    </row>
    <row r="108" spans="1:32" ht="12.75">
      <c r="A108" s="13"/>
      <c r="B108" s="301"/>
      <c r="C108" s="301"/>
      <c r="D108" s="301"/>
      <c r="E108" s="301"/>
      <c r="F108" s="301"/>
      <c r="G108" s="301"/>
      <c r="H108" s="301"/>
      <c r="I108" s="301"/>
      <c r="J108" s="301"/>
      <c r="K108" s="301"/>
      <c r="L108" s="301"/>
      <c r="M108" s="301"/>
      <c r="N108" s="301"/>
      <c r="O108" s="301"/>
      <c r="P108" s="48"/>
      <c r="Q108" s="301"/>
      <c r="R108" s="301"/>
      <c r="S108" s="301"/>
      <c r="T108" s="301"/>
      <c r="U108" s="301"/>
      <c r="V108" s="301"/>
      <c r="W108" s="301"/>
      <c r="X108" s="301"/>
      <c r="Y108" s="301"/>
      <c r="Z108" s="301"/>
      <c r="AA108" s="301"/>
      <c r="AB108" s="503"/>
      <c r="AC108" s="301"/>
      <c r="AD108" s="301"/>
      <c r="AE108" s="301"/>
      <c r="AF108" s="301"/>
    </row>
    <row r="109" spans="1:32" ht="12.75">
      <c r="A109" s="8" t="s">
        <v>516</v>
      </c>
      <c r="B109" s="301"/>
      <c r="C109" s="301"/>
      <c r="D109" s="301"/>
      <c r="E109" s="301"/>
      <c r="F109" s="301"/>
      <c r="G109" s="301"/>
      <c r="H109" s="301"/>
      <c r="I109" s="301"/>
      <c r="J109" s="301"/>
      <c r="K109" s="301"/>
      <c r="L109" s="301"/>
      <c r="M109" s="301"/>
      <c r="N109" s="301"/>
      <c r="O109" s="301"/>
      <c r="P109" s="48"/>
      <c r="Q109" s="301"/>
      <c r="R109" s="301"/>
      <c r="S109" s="301"/>
      <c r="T109" s="301"/>
      <c r="U109" s="301"/>
      <c r="V109" s="301"/>
      <c r="W109" s="301"/>
      <c r="X109" s="301"/>
      <c r="Y109" s="301"/>
      <c r="Z109" s="301"/>
      <c r="AA109" s="301"/>
      <c r="AB109" s="503"/>
      <c r="AC109" s="301"/>
      <c r="AD109" s="301"/>
      <c r="AE109" s="301"/>
      <c r="AF109" s="301"/>
    </row>
    <row r="110" spans="1:32" ht="12.75">
      <c r="A110" s="13" t="s">
        <v>156</v>
      </c>
      <c r="B110" s="301">
        <v>5.215560112822481</v>
      </c>
      <c r="C110" s="301"/>
      <c r="D110" s="301">
        <v>5</v>
      </c>
      <c r="E110" s="301"/>
      <c r="F110" s="301">
        <v>4.954782107181357</v>
      </c>
      <c r="G110" s="301"/>
      <c r="H110" s="301">
        <v>14.629115889840037</v>
      </c>
      <c r="I110" s="301"/>
      <c r="J110" s="301">
        <v>4.2299412906327385</v>
      </c>
      <c r="K110" s="301"/>
      <c r="L110" s="301">
        <v>49</v>
      </c>
      <c r="M110" s="301"/>
      <c r="N110" s="301">
        <v>37</v>
      </c>
      <c r="O110" s="301"/>
      <c r="P110" s="48">
        <f>0.01*88.6456724133487</f>
        <v>0.8864567241334871</v>
      </c>
      <c r="Q110" s="301"/>
      <c r="R110" s="301">
        <v>0.5921917806885834</v>
      </c>
      <c r="S110" s="301"/>
      <c r="T110" s="301"/>
      <c r="U110" s="301"/>
      <c r="V110" s="301">
        <v>0.02595909175621187</v>
      </c>
      <c r="W110" s="301"/>
      <c r="X110" s="301">
        <v>0.7359272717427284</v>
      </c>
      <c r="Y110" s="301"/>
      <c r="Z110" s="301">
        <v>82</v>
      </c>
      <c r="AA110" s="301"/>
      <c r="AB110" s="503">
        <v>165</v>
      </c>
      <c r="AC110" s="301"/>
      <c r="AD110" s="301">
        <v>0.36573355322971957</v>
      </c>
      <c r="AE110" s="301"/>
      <c r="AF110" s="301">
        <v>0.004460165283289264</v>
      </c>
    </row>
    <row r="111" spans="1:32" ht="12.75">
      <c r="A111" s="13" t="s">
        <v>157</v>
      </c>
      <c r="B111" s="301">
        <v>4.297004329456838</v>
      </c>
      <c r="C111" s="301"/>
      <c r="D111" s="301">
        <v>41.48624926857812</v>
      </c>
      <c r="E111" s="301"/>
      <c r="F111" s="301">
        <v>2.5143384022567803</v>
      </c>
      <c r="G111" s="301"/>
      <c r="H111" s="301">
        <v>6</v>
      </c>
      <c r="I111" s="301"/>
      <c r="J111" s="301">
        <v>2.3634780981213734</v>
      </c>
      <c r="K111" s="301"/>
      <c r="L111" s="301">
        <v>0</v>
      </c>
      <c r="M111" s="301"/>
      <c r="N111" s="301">
        <v>9</v>
      </c>
      <c r="O111" s="301"/>
      <c r="P111" s="48">
        <f>0.01*49.9473376243417</f>
        <v>0.499473376243417</v>
      </c>
      <c r="Q111" s="301"/>
      <c r="R111" s="301">
        <v>2.1507650692904496</v>
      </c>
      <c r="S111" s="301"/>
      <c r="T111" s="301"/>
      <c r="U111" s="301"/>
      <c r="V111" s="301">
        <v>0.09428011262643068</v>
      </c>
      <c r="W111" s="301"/>
      <c r="X111" s="301">
        <v>2.6727940529029963</v>
      </c>
      <c r="Y111" s="301"/>
      <c r="Z111" s="301">
        <v>79</v>
      </c>
      <c r="AA111" s="301"/>
      <c r="AB111" s="503">
        <v>246</v>
      </c>
      <c r="AC111" s="301"/>
      <c r="AD111" s="301">
        <v>0.8583363015420191</v>
      </c>
      <c r="AE111" s="301"/>
      <c r="AF111" s="301">
        <v>0.010865016475215435</v>
      </c>
    </row>
    <row r="112" spans="1:32" ht="12.75">
      <c r="A112" s="13" t="s">
        <v>174</v>
      </c>
      <c r="B112" s="301">
        <v>3.703414644858474</v>
      </c>
      <c r="C112" s="301"/>
      <c r="D112" s="301">
        <v>41.33333333333332</v>
      </c>
      <c r="E112" s="301"/>
      <c r="F112" s="301">
        <v>2.1726699249836385</v>
      </c>
      <c r="G112" s="301"/>
      <c r="H112" s="301">
        <v>6</v>
      </c>
      <c r="I112" s="301"/>
      <c r="J112" s="301">
        <v>2.04230972948462</v>
      </c>
      <c r="K112" s="301"/>
      <c r="L112" s="301">
        <v>0</v>
      </c>
      <c r="M112" s="301"/>
      <c r="N112" s="301">
        <v>10</v>
      </c>
      <c r="O112" s="301"/>
      <c r="P112" s="48">
        <f>0.01*50.368</f>
        <v>0.50368</v>
      </c>
      <c r="Q112" s="301"/>
      <c r="R112" s="301">
        <v>1.838078756536158</v>
      </c>
      <c r="S112" s="301"/>
      <c r="T112" s="301">
        <v>0.20887258597001793</v>
      </c>
      <c r="U112" s="301"/>
      <c r="V112" s="301">
        <v>0.08057331535500967</v>
      </c>
      <c r="W112" s="301"/>
      <c r="X112" s="301">
        <v>2.2842132036568463</v>
      </c>
      <c r="Y112" s="301"/>
      <c r="Z112" s="301">
        <v>132</v>
      </c>
      <c r="AA112" s="301"/>
      <c r="AB112" s="503">
        <v>250</v>
      </c>
      <c r="AC112" s="301"/>
      <c r="AD112" s="301">
        <v>1.206064571530815</v>
      </c>
      <c r="AE112" s="301"/>
      <c r="AF112" s="301">
        <v>0.009136852814627386</v>
      </c>
    </row>
    <row r="113" spans="1:35" ht="12.75">
      <c r="A113" s="228" t="s">
        <v>134</v>
      </c>
      <c r="B113" s="421">
        <f>SUM(B110:B112)</f>
        <v>13.215979087137795</v>
      </c>
      <c r="C113" s="421"/>
      <c r="D113" s="421"/>
      <c r="E113" s="421"/>
      <c r="F113" s="421"/>
      <c r="G113" s="421"/>
      <c r="H113" s="421"/>
      <c r="I113" s="421"/>
      <c r="J113" s="421"/>
      <c r="K113" s="421"/>
      <c r="L113" s="421"/>
      <c r="M113" s="421"/>
      <c r="N113" s="421"/>
      <c r="O113" s="421"/>
      <c r="P113" s="422">
        <f>1-(R113/B113)</f>
        <v>0.6533714546375456</v>
      </c>
      <c r="Q113" s="421"/>
      <c r="R113" s="421">
        <f aca="true" t="shared" si="10" ref="R113:AF113">SUM(R110:R112)</f>
        <v>4.581035606515191</v>
      </c>
      <c r="S113" s="421">
        <f t="shared" si="10"/>
        <v>0</v>
      </c>
      <c r="T113" s="421">
        <f t="shared" si="10"/>
        <v>0.20887258597001793</v>
      </c>
      <c r="U113" s="421">
        <f t="shared" si="10"/>
        <v>0</v>
      </c>
      <c r="V113" s="421">
        <f t="shared" si="10"/>
        <v>0.20081251973765224</v>
      </c>
      <c r="W113" s="421">
        <f t="shared" si="10"/>
        <v>0</v>
      </c>
      <c r="X113" s="421">
        <f t="shared" si="10"/>
        <v>5.692934528302571</v>
      </c>
      <c r="Y113" s="421">
        <f t="shared" si="10"/>
        <v>0</v>
      </c>
      <c r="Z113" s="421">
        <f t="shared" si="10"/>
        <v>293</v>
      </c>
      <c r="AA113" s="421">
        <f t="shared" si="10"/>
        <v>0</v>
      </c>
      <c r="AB113" s="500">
        <f t="shared" si="10"/>
        <v>661</v>
      </c>
      <c r="AC113" s="421">
        <f t="shared" si="10"/>
        <v>0</v>
      </c>
      <c r="AD113" s="421">
        <f t="shared" si="10"/>
        <v>2.430134426302554</v>
      </c>
      <c r="AE113" s="421">
        <f t="shared" si="10"/>
        <v>0</v>
      </c>
      <c r="AF113" s="421">
        <f t="shared" si="10"/>
        <v>0.024462034573132084</v>
      </c>
      <c r="AH113" s="453">
        <f>B113/AF113</f>
        <v>540.2649173611089</v>
      </c>
      <c r="AI113" s="454">
        <f>AF113/B113</f>
        <v>0.0018509438015787496</v>
      </c>
    </row>
    <row r="114" spans="1:32" ht="12.75">
      <c r="A114" s="13"/>
      <c r="B114" s="301"/>
      <c r="C114" s="301"/>
      <c r="D114" s="301"/>
      <c r="E114" s="301"/>
      <c r="F114" s="301"/>
      <c r="G114" s="301"/>
      <c r="H114" s="301"/>
      <c r="I114" s="301"/>
      <c r="J114" s="301"/>
      <c r="K114" s="301"/>
      <c r="L114" s="301"/>
      <c r="M114" s="301"/>
      <c r="N114" s="301"/>
      <c r="O114" s="301"/>
      <c r="P114" s="48"/>
      <c r="Q114" s="301"/>
      <c r="R114" s="301"/>
      <c r="S114" s="301"/>
      <c r="T114" s="301"/>
      <c r="U114" s="301"/>
      <c r="V114" s="301"/>
      <c r="W114" s="301"/>
      <c r="X114" s="301"/>
      <c r="Y114" s="301"/>
      <c r="Z114" s="301"/>
      <c r="AA114" s="301"/>
      <c r="AB114" s="503"/>
      <c r="AC114" s="301"/>
      <c r="AD114" s="301"/>
      <c r="AE114" s="301"/>
      <c r="AF114" s="301"/>
    </row>
    <row r="115" spans="1:32" ht="12.75">
      <c r="A115" s="8" t="s">
        <v>520</v>
      </c>
      <c r="B115" s="301"/>
      <c r="C115" s="301"/>
      <c r="D115" s="301"/>
      <c r="E115" s="301"/>
      <c r="F115" s="301"/>
      <c r="G115" s="301"/>
      <c r="H115" s="301"/>
      <c r="I115" s="301"/>
      <c r="J115" s="301"/>
      <c r="K115" s="301"/>
      <c r="L115" s="301"/>
      <c r="M115" s="301"/>
      <c r="N115" s="301"/>
      <c r="O115" s="301"/>
      <c r="P115" s="48"/>
      <c r="Q115" s="301"/>
      <c r="R115" s="301"/>
      <c r="S115" s="301"/>
      <c r="T115" s="301"/>
      <c r="U115" s="301"/>
      <c r="V115" s="301"/>
      <c r="W115" s="301"/>
      <c r="X115" s="301"/>
      <c r="Y115" s="301"/>
      <c r="Z115" s="301"/>
      <c r="AA115" s="301"/>
      <c r="AB115" s="503"/>
      <c r="AC115" s="301"/>
      <c r="AD115" s="301"/>
      <c r="AE115" s="301"/>
      <c r="AF115" s="301"/>
    </row>
    <row r="116" spans="1:35" ht="12.75">
      <c r="A116" s="13" t="s">
        <v>167</v>
      </c>
      <c r="B116" s="382">
        <v>6.719687625688763</v>
      </c>
      <c r="C116" s="301"/>
      <c r="D116" s="301">
        <v>79.44912136773496</v>
      </c>
      <c r="E116" s="301"/>
      <c r="F116" s="301">
        <v>1.38095484842263</v>
      </c>
      <c r="G116" s="301"/>
      <c r="H116" s="301">
        <v>6</v>
      </c>
      <c r="I116" s="301"/>
      <c r="J116" s="301">
        <v>1.2980975575172722</v>
      </c>
      <c r="K116" s="301"/>
      <c r="L116" s="301">
        <v>0</v>
      </c>
      <c r="M116" s="301"/>
      <c r="N116" s="301">
        <v>26</v>
      </c>
      <c r="O116" s="301"/>
      <c r="P116" s="48">
        <f>0.01*85.7048088233964</f>
        <v>0.8570480882339641</v>
      </c>
      <c r="Q116" s="301"/>
      <c r="R116" s="301">
        <v>0.9605921925627815</v>
      </c>
      <c r="S116" s="301"/>
      <c r="T116" s="301"/>
      <c r="U116" s="301"/>
      <c r="V116" s="301">
        <v>0.04210815090686165</v>
      </c>
      <c r="W116" s="301"/>
      <c r="X116" s="301">
        <v>1.1937450241340741</v>
      </c>
      <c r="Y116" s="301"/>
      <c r="Z116" s="301">
        <v>271</v>
      </c>
      <c r="AA116" s="301"/>
      <c r="AB116" s="503">
        <v>72.5</v>
      </c>
      <c r="AC116" s="301"/>
      <c r="AD116" s="301">
        <v>4.462136572970126</v>
      </c>
      <c r="AE116" s="301"/>
      <c r="AF116" s="301">
        <v>0.016465448608745853</v>
      </c>
      <c r="AH116" s="246">
        <f>B116/AF116</f>
        <v>408.1083841298747</v>
      </c>
      <c r="AI116" s="451">
        <f>AF116/B116</f>
        <v>0.002450329468560401</v>
      </c>
    </row>
    <row r="117" spans="1:32" ht="12.75">
      <c r="A117" s="13"/>
      <c r="B117" s="301"/>
      <c r="C117" s="301"/>
      <c r="D117" s="301"/>
      <c r="E117" s="301"/>
      <c r="F117" s="301"/>
      <c r="G117" s="301"/>
      <c r="H117" s="301"/>
      <c r="I117" s="301"/>
      <c r="J117" s="301"/>
      <c r="K117" s="301"/>
      <c r="L117" s="301"/>
      <c r="M117" s="301"/>
      <c r="N117" s="301"/>
      <c r="O117" s="301"/>
      <c r="P117" s="48"/>
      <c r="Q117" s="301"/>
      <c r="R117" s="301"/>
      <c r="S117" s="301"/>
      <c r="T117" s="301"/>
      <c r="U117" s="301"/>
      <c r="V117" s="301"/>
      <c r="W117" s="301"/>
      <c r="X117" s="301"/>
      <c r="Y117" s="301"/>
      <c r="Z117" s="301"/>
      <c r="AA117" s="301"/>
      <c r="AB117" s="503"/>
      <c r="AC117" s="301"/>
      <c r="AD117" s="301"/>
      <c r="AE117" s="301"/>
      <c r="AF117" s="301"/>
    </row>
    <row r="118" spans="1:32" ht="12.75">
      <c r="A118" s="8" t="s">
        <v>514</v>
      </c>
      <c r="B118" s="301"/>
      <c r="C118" s="301"/>
      <c r="D118" s="301"/>
      <c r="E118" s="301"/>
      <c r="F118" s="301"/>
      <c r="G118" s="301"/>
      <c r="H118" s="301"/>
      <c r="I118" s="301"/>
      <c r="J118" s="301"/>
      <c r="K118" s="301"/>
      <c r="L118" s="301"/>
      <c r="M118" s="301"/>
      <c r="N118" s="301"/>
      <c r="O118" s="301"/>
      <c r="P118" s="48"/>
      <c r="Q118" s="301"/>
      <c r="R118" s="301"/>
      <c r="S118" s="301"/>
      <c r="T118" s="301"/>
      <c r="U118" s="301"/>
      <c r="V118" s="301"/>
      <c r="W118" s="301"/>
      <c r="X118" s="301"/>
      <c r="Y118" s="301"/>
      <c r="Z118" s="301"/>
      <c r="AA118" s="301"/>
      <c r="AB118" s="503"/>
      <c r="AC118" s="301"/>
      <c r="AD118" s="301"/>
      <c r="AE118" s="301"/>
      <c r="AF118" s="301"/>
    </row>
    <row r="119" spans="1:32" ht="12.75">
      <c r="A119" s="13" t="s">
        <v>156</v>
      </c>
      <c r="B119" s="301">
        <v>2.771725755890351</v>
      </c>
      <c r="C119" s="301"/>
      <c r="D119" s="301">
        <v>3</v>
      </c>
      <c r="E119" s="301"/>
      <c r="F119" s="301">
        <v>2.6885739832136406</v>
      </c>
      <c r="G119" s="301"/>
      <c r="H119" s="301">
        <v>12.836730422519542</v>
      </c>
      <c r="I119" s="301"/>
      <c r="J119" s="301">
        <v>2.3434489887785097</v>
      </c>
      <c r="K119" s="301"/>
      <c r="L119" s="301">
        <v>50</v>
      </c>
      <c r="M119" s="301"/>
      <c r="N119" s="301">
        <v>20</v>
      </c>
      <c r="O119" s="301"/>
      <c r="P119" s="48">
        <f>0.01*74.6354885529532</f>
        <v>0.7463548855295321</v>
      </c>
      <c r="Q119" s="301"/>
      <c r="R119" s="301">
        <v>0.703034696633553</v>
      </c>
      <c r="S119" s="301"/>
      <c r="T119" s="301"/>
      <c r="U119" s="301"/>
      <c r="V119" s="301">
        <v>0.03081795930448451</v>
      </c>
      <c r="W119" s="301"/>
      <c r="X119" s="301">
        <v>0.8736737373024835</v>
      </c>
      <c r="Y119" s="301"/>
      <c r="Z119" s="301">
        <v>78</v>
      </c>
      <c r="AA119" s="301"/>
      <c r="AB119" s="503">
        <v>243</v>
      </c>
      <c r="AC119" s="301"/>
      <c r="AD119" s="301">
        <v>0.280438483578575</v>
      </c>
      <c r="AE119" s="301"/>
      <c r="AF119" s="301">
        <v>0.0035953651740842944</v>
      </c>
    </row>
    <row r="120" spans="1:32" ht="12.75">
      <c r="A120" s="13" t="s">
        <v>174</v>
      </c>
      <c r="B120" s="382">
        <v>4.049086815825161</v>
      </c>
      <c r="C120" s="301"/>
      <c r="D120" s="301">
        <v>32.070598007412165</v>
      </c>
      <c r="E120" s="301"/>
      <c r="F120" s="301">
        <v>2.777704699630521</v>
      </c>
      <c r="G120" s="301"/>
      <c r="H120" s="301">
        <v>6</v>
      </c>
      <c r="I120" s="301"/>
      <c r="J120" s="301">
        <v>2.6110424176526896</v>
      </c>
      <c r="K120" s="301"/>
      <c r="L120" s="301">
        <v>0</v>
      </c>
      <c r="M120" s="301"/>
      <c r="N120" s="301">
        <v>10</v>
      </c>
      <c r="O120" s="301"/>
      <c r="P120" s="48">
        <f>0.01*42.5317259142707</f>
        <v>0.425317259142707</v>
      </c>
      <c r="Q120" s="301"/>
      <c r="R120" s="301">
        <v>2.3499381758874205</v>
      </c>
      <c r="S120" s="301"/>
      <c r="T120" s="301">
        <v>0.2701078363088989</v>
      </c>
      <c r="U120" s="301"/>
      <c r="V120" s="301">
        <v>0.1030109885320513</v>
      </c>
      <c r="W120" s="301"/>
      <c r="X120" s="301">
        <v>2.9203100193893885</v>
      </c>
      <c r="Y120" s="301"/>
      <c r="Z120" s="301">
        <v>94</v>
      </c>
      <c r="AA120" s="301"/>
      <c r="AB120" s="503">
        <v>247</v>
      </c>
      <c r="AC120" s="301"/>
      <c r="AD120" s="301">
        <v>1.1113730438162044</v>
      </c>
      <c r="AE120" s="301"/>
      <c r="AF120" s="301">
        <v>0.01182311748740643</v>
      </c>
    </row>
    <row r="121" spans="1:35" ht="12.75">
      <c r="A121" s="228" t="s">
        <v>134</v>
      </c>
      <c r="B121" s="421">
        <f>SUM(B119:B120)</f>
        <v>6.820812571715512</v>
      </c>
      <c r="C121" s="421"/>
      <c r="D121" s="421"/>
      <c r="E121" s="421"/>
      <c r="F121" s="421"/>
      <c r="G121" s="421"/>
      <c r="H121" s="421"/>
      <c r="I121" s="421"/>
      <c r="J121" s="421"/>
      <c r="K121" s="421"/>
      <c r="L121" s="421"/>
      <c r="M121" s="421"/>
      <c r="N121" s="421"/>
      <c r="O121" s="421"/>
      <c r="P121" s="422">
        <f>1-(R121/B121)</f>
        <v>0.5524033477798502</v>
      </c>
      <c r="Q121" s="421"/>
      <c r="R121" s="421">
        <f aca="true" t="shared" si="11" ref="R121:AF121">SUM(R119:R120)</f>
        <v>3.0529728725209733</v>
      </c>
      <c r="S121" s="421">
        <f t="shared" si="11"/>
        <v>0</v>
      </c>
      <c r="T121" s="421">
        <f t="shared" si="11"/>
        <v>0.2701078363088989</v>
      </c>
      <c r="U121" s="421">
        <f t="shared" si="11"/>
        <v>0</v>
      </c>
      <c r="V121" s="421">
        <f t="shared" si="11"/>
        <v>0.13382894783653582</v>
      </c>
      <c r="W121" s="421">
        <f t="shared" si="11"/>
        <v>0</v>
      </c>
      <c r="X121" s="421">
        <f t="shared" si="11"/>
        <v>3.793983756691872</v>
      </c>
      <c r="Y121" s="421">
        <f t="shared" si="11"/>
        <v>0</v>
      </c>
      <c r="Z121" s="421">
        <f t="shared" si="11"/>
        <v>172</v>
      </c>
      <c r="AA121" s="421">
        <f t="shared" si="11"/>
        <v>0</v>
      </c>
      <c r="AB121" s="500">
        <f t="shared" si="11"/>
        <v>490</v>
      </c>
      <c r="AC121" s="421">
        <f t="shared" si="11"/>
        <v>0</v>
      </c>
      <c r="AD121" s="421">
        <f t="shared" si="11"/>
        <v>1.3918115273947793</v>
      </c>
      <c r="AE121" s="421">
        <f t="shared" si="11"/>
        <v>0</v>
      </c>
      <c r="AF121" s="421">
        <f t="shared" si="11"/>
        <v>0.015418482661490724</v>
      </c>
      <c r="AH121" s="453">
        <f>B121/AF121</f>
        <v>442.37897602928246</v>
      </c>
      <c r="AI121" s="454">
        <f>AF121/B121</f>
        <v>0.002260505254964483</v>
      </c>
    </row>
    <row r="122" spans="1:32" ht="12.75">
      <c r="A122" s="13"/>
      <c r="B122" s="301"/>
      <c r="C122" s="301"/>
      <c r="D122" s="301"/>
      <c r="E122" s="301"/>
      <c r="F122" s="301"/>
      <c r="G122" s="301"/>
      <c r="H122" s="301"/>
      <c r="I122" s="301"/>
      <c r="J122" s="301"/>
      <c r="K122" s="301"/>
      <c r="L122" s="301"/>
      <c r="M122" s="301"/>
      <c r="N122" s="301"/>
      <c r="O122" s="301"/>
      <c r="P122" s="48"/>
      <c r="Q122" s="301"/>
      <c r="R122" s="301"/>
      <c r="S122" s="301"/>
      <c r="T122" s="301"/>
      <c r="U122" s="301"/>
      <c r="V122" s="301"/>
      <c r="W122" s="301"/>
      <c r="X122" s="301"/>
      <c r="Y122" s="301"/>
      <c r="Z122" s="301"/>
      <c r="AA122" s="301"/>
      <c r="AB122" s="503"/>
      <c r="AC122" s="301"/>
      <c r="AD122" s="301"/>
      <c r="AE122" s="301"/>
      <c r="AF122" s="301"/>
    </row>
    <row r="123" spans="1:32" ht="12.75">
      <c r="A123" s="8" t="s">
        <v>513</v>
      </c>
      <c r="B123" s="301"/>
      <c r="C123" s="301"/>
      <c r="D123" s="301"/>
      <c r="E123" s="301"/>
      <c r="F123" s="301"/>
      <c r="G123" s="301"/>
      <c r="H123" s="301"/>
      <c r="I123" s="301"/>
      <c r="J123" s="301"/>
      <c r="K123" s="301"/>
      <c r="L123" s="301"/>
      <c r="M123" s="301"/>
      <c r="N123" s="301"/>
      <c r="O123" s="301"/>
      <c r="P123" s="48"/>
      <c r="Q123" s="301"/>
      <c r="R123" s="301"/>
      <c r="S123" s="301"/>
      <c r="T123" s="301"/>
      <c r="U123" s="301"/>
      <c r="V123" s="301"/>
      <c r="W123" s="301"/>
      <c r="X123" s="301"/>
      <c r="Y123" s="301"/>
      <c r="Z123" s="301"/>
      <c r="AA123" s="301"/>
      <c r="AB123" s="503"/>
      <c r="AC123" s="301"/>
      <c r="AD123" s="301"/>
      <c r="AE123" s="301"/>
      <c r="AF123" s="301"/>
    </row>
    <row r="124" spans="1:32" ht="12.75">
      <c r="A124" s="13" t="s">
        <v>156</v>
      </c>
      <c r="B124" s="301"/>
      <c r="C124" s="301"/>
      <c r="D124" s="301"/>
      <c r="E124" s="301"/>
      <c r="F124" s="301"/>
      <c r="G124" s="301"/>
      <c r="H124" s="301"/>
      <c r="I124" s="301"/>
      <c r="J124" s="301"/>
      <c r="K124" s="301"/>
      <c r="L124" s="301"/>
      <c r="M124" s="301"/>
      <c r="N124" s="301"/>
      <c r="O124" s="301"/>
      <c r="P124" s="48"/>
      <c r="Q124" s="301"/>
      <c r="R124" s="301"/>
      <c r="S124" s="301"/>
      <c r="T124" s="301"/>
      <c r="U124" s="301"/>
      <c r="V124" s="301"/>
      <c r="W124" s="301"/>
      <c r="X124" s="301"/>
      <c r="Y124" s="301"/>
      <c r="Z124" s="301"/>
      <c r="AA124" s="301"/>
      <c r="AB124" s="503"/>
      <c r="AC124" s="301"/>
      <c r="AD124" s="301"/>
      <c r="AE124" s="301"/>
      <c r="AF124" s="301"/>
    </row>
    <row r="125" spans="1:32" ht="12.75">
      <c r="A125" s="13"/>
      <c r="B125" s="301"/>
      <c r="C125" s="301"/>
      <c r="D125" s="301"/>
      <c r="E125" s="301"/>
      <c r="F125" s="301"/>
      <c r="G125" s="301"/>
      <c r="H125" s="301"/>
      <c r="I125" s="301"/>
      <c r="J125" s="301"/>
      <c r="K125" s="301"/>
      <c r="L125" s="301"/>
      <c r="M125" s="301"/>
      <c r="N125" s="301"/>
      <c r="O125" s="301"/>
      <c r="P125" s="48"/>
      <c r="Q125" s="301"/>
      <c r="R125" s="301"/>
      <c r="S125" s="301"/>
      <c r="T125" s="301"/>
      <c r="U125" s="301"/>
      <c r="V125" s="301"/>
      <c r="W125" s="301"/>
      <c r="X125" s="301"/>
      <c r="Y125" s="301"/>
      <c r="Z125" s="301"/>
      <c r="AA125" s="301"/>
      <c r="AB125" s="503"/>
      <c r="AC125" s="301"/>
      <c r="AD125" s="301"/>
      <c r="AE125" s="301"/>
      <c r="AF125" s="301"/>
    </row>
    <row r="126" spans="1:32" ht="12.75">
      <c r="A126" s="8" t="s">
        <v>529</v>
      </c>
      <c r="B126" s="301"/>
      <c r="C126" s="301"/>
      <c r="D126" s="301"/>
      <c r="E126" s="301"/>
      <c r="F126" s="301"/>
      <c r="G126" s="301"/>
      <c r="H126" s="301"/>
      <c r="I126" s="301"/>
      <c r="J126" s="301"/>
      <c r="K126" s="301"/>
      <c r="L126" s="301"/>
      <c r="M126" s="301"/>
      <c r="N126" s="301"/>
      <c r="O126" s="301"/>
      <c r="P126" s="48"/>
      <c r="Q126" s="301"/>
      <c r="R126" s="301"/>
      <c r="S126" s="301"/>
      <c r="T126" s="301"/>
      <c r="U126" s="301"/>
      <c r="V126" s="301"/>
      <c r="W126" s="301"/>
      <c r="X126" s="301"/>
      <c r="Y126" s="301"/>
      <c r="Z126" s="301"/>
      <c r="AA126" s="301"/>
      <c r="AB126" s="503"/>
      <c r="AC126" s="301"/>
      <c r="AD126" s="301"/>
      <c r="AE126" s="301"/>
      <c r="AF126" s="301"/>
    </row>
    <row r="127" spans="1:32" ht="12.75">
      <c r="A127" s="13" t="s">
        <v>522</v>
      </c>
      <c r="B127" s="382">
        <v>2.96651041241192</v>
      </c>
      <c r="C127" s="301"/>
      <c r="D127" s="301">
        <v>4</v>
      </c>
      <c r="E127" s="301"/>
      <c r="F127" s="301">
        <v>2.8478499959154435</v>
      </c>
      <c r="G127" s="301"/>
      <c r="H127" s="301">
        <v>6.963065155121987</v>
      </c>
      <c r="I127" s="301"/>
      <c r="J127" s="301">
        <v>2.649552345179712</v>
      </c>
      <c r="K127" s="301"/>
      <c r="L127" s="301">
        <v>47</v>
      </c>
      <c r="M127" s="301"/>
      <c r="N127" s="301">
        <v>44</v>
      </c>
      <c r="O127" s="301"/>
      <c r="P127" s="48">
        <f>0.01*91.9616088294025</f>
        <v>0.919616088294025</v>
      </c>
      <c r="Q127" s="301"/>
      <c r="R127" s="301">
        <v>0.2384597110661742</v>
      </c>
      <c r="S127" s="301"/>
      <c r="T127" s="301"/>
      <c r="U127" s="301"/>
      <c r="V127" s="301">
        <v>0.010453028430298047</v>
      </c>
      <c r="W127" s="301"/>
      <c r="X127" s="301">
        <v>0.2963381294847345</v>
      </c>
      <c r="Y127" s="301"/>
      <c r="Z127" s="301">
        <v>61</v>
      </c>
      <c r="AA127" s="301"/>
      <c r="AB127" s="503">
        <v>212</v>
      </c>
      <c r="AC127" s="301"/>
      <c r="AD127" s="301">
        <v>0.08526710329513586</v>
      </c>
      <c r="AE127" s="301"/>
      <c r="AF127" s="301">
        <v>0.0013978213654940303</v>
      </c>
    </row>
    <row r="128" spans="1:32" ht="12.75">
      <c r="A128" s="13" t="s">
        <v>523</v>
      </c>
      <c r="B128" s="301">
        <v>3.7219207100163105</v>
      </c>
      <c r="C128" s="301"/>
      <c r="D128" s="301">
        <v>66.34615384615385</v>
      </c>
      <c r="E128" s="301"/>
      <c r="F128" s="301">
        <v>1.2525694697170273</v>
      </c>
      <c r="G128" s="301"/>
      <c r="H128" s="301">
        <v>6</v>
      </c>
      <c r="I128" s="301"/>
      <c r="J128" s="301">
        <v>1.177415301534006</v>
      </c>
      <c r="K128" s="301"/>
      <c r="L128" s="301">
        <v>0</v>
      </c>
      <c r="M128" s="301"/>
      <c r="N128" s="301">
        <v>10</v>
      </c>
      <c r="O128" s="301"/>
      <c r="P128" s="48">
        <f>0.01*71.5288461538462</f>
        <v>0.715288461538462</v>
      </c>
      <c r="Q128" s="301"/>
      <c r="R128" s="301">
        <v>1.0596737713806053</v>
      </c>
      <c r="S128" s="301"/>
      <c r="T128" s="301">
        <v>0.12110557387206917</v>
      </c>
      <c r="U128" s="301"/>
      <c r="V128" s="301">
        <v>0.046451452992026535</v>
      </c>
      <c r="W128" s="301"/>
      <c r="X128" s="301">
        <v>1.3168754665974562</v>
      </c>
      <c r="Y128" s="301"/>
      <c r="Z128" s="301">
        <v>51</v>
      </c>
      <c r="AA128" s="301"/>
      <c r="AB128" s="503">
        <v>244</v>
      </c>
      <c r="AC128" s="301"/>
      <c r="AD128" s="301">
        <v>0.2752485606412717</v>
      </c>
      <c r="AE128" s="301"/>
      <c r="AF128" s="301">
        <v>0.005397030600809247</v>
      </c>
    </row>
    <row r="129" spans="1:35" ht="12.75">
      <c r="A129" s="228" t="s">
        <v>134</v>
      </c>
      <c r="B129" s="421">
        <f>SUM(B127:B128)</f>
        <v>6.688431122428231</v>
      </c>
      <c r="C129" s="421"/>
      <c r="D129" s="421"/>
      <c r="E129" s="421"/>
      <c r="F129" s="421"/>
      <c r="G129" s="421"/>
      <c r="H129" s="421"/>
      <c r="I129" s="421"/>
      <c r="J129" s="421"/>
      <c r="K129" s="421"/>
      <c r="L129" s="421"/>
      <c r="M129" s="421"/>
      <c r="N129" s="421"/>
      <c r="O129" s="421"/>
      <c r="P129" s="422">
        <f>1-(R129/B129)</f>
        <v>0.8059136053455398</v>
      </c>
      <c r="Q129" s="421"/>
      <c r="R129" s="421">
        <f>SUM(R127:R128)</f>
        <v>1.2981334824467794</v>
      </c>
      <c r="S129" s="421"/>
      <c r="T129" s="421"/>
      <c r="U129" s="421"/>
      <c r="V129" s="421">
        <f>SUM(V127:V128)</f>
        <v>0.056904481422324585</v>
      </c>
      <c r="W129" s="421"/>
      <c r="X129" s="421">
        <f>SUM(X127:X128)</f>
        <v>1.6132135960821907</v>
      </c>
      <c r="Y129" s="421"/>
      <c r="Z129" s="421"/>
      <c r="AA129" s="421"/>
      <c r="AB129" s="421"/>
      <c r="AC129" s="421"/>
      <c r="AD129" s="421">
        <f>SUM(AD127:AD128)</f>
        <v>0.36051566393640755</v>
      </c>
      <c r="AE129" s="421"/>
      <c r="AF129" s="421">
        <f>SUM(AF127:AF128)</f>
        <v>0.006794851966303277</v>
      </c>
      <c r="AG129" s="11"/>
      <c r="AH129" s="453">
        <f>B129/AF129</f>
        <v>984.338018782042</v>
      </c>
      <c r="AI129" s="11"/>
    </row>
    <row r="130" spans="1:32" ht="12.75">
      <c r="A130" s="13"/>
      <c r="B130" s="301"/>
      <c r="C130" s="301"/>
      <c r="D130" s="301"/>
      <c r="E130" s="301"/>
      <c r="F130" s="301"/>
      <c r="G130" s="301"/>
      <c r="H130" s="301"/>
      <c r="I130" s="301"/>
      <c r="J130" s="301"/>
      <c r="K130" s="301"/>
      <c r="L130" s="301"/>
      <c r="M130" s="301"/>
      <c r="N130" s="301"/>
      <c r="O130" s="301"/>
      <c r="P130" s="48"/>
      <c r="Q130" s="301"/>
      <c r="R130" s="301"/>
      <c r="S130" s="301"/>
      <c r="T130" s="301"/>
      <c r="U130" s="301"/>
      <c r="V130" s="301"/>
      <c r="W130" s="301"/>
      <c r="X130" s="301"/>
      <c r="Y130" s="301"/>
      <c r="Z130" s="301"/>
      <c r="AA130" s="301"/>
      <c r="AB130" s="503"/>
      <c r="AC130" s="301"/>
      <c r="AD130" s="301"/>
      <c r="AE130" s="301"/>
      <c r="AF130" s="301"/>
    </row>
    <row r="131" spans="1:32" ht="12.75">
      <c r="A131" s="8" t="s">
        <v>530</v>
      </c>
      <c r="B131" s="301"/>
      <c r="C131" s="301"/>
      <c r="D131" s="301"/>
      <c r="E131" s="301"/>
      <c r="F131" s="301"/>
      <c r="G131" s="301"/>
      <c r="H131" s="301"/>
      <c r="I131" s="301"/>
      <c r="J131" s="301"/>
      <c r="K131" s="301"/>
      <c r="L131" s="301"/>
      <c r="M131" s="301"/>
      <c r="N131" s="301"/>
      <c r="O131" s="301"/>
      <c r="P131" s="48"/>
      <c r="Q131" s="301"/>
      <c r="R131" s="301"/>
      <c r="S131" s="301"/>
      <c r="T131" s="301"/>
      <c r="U131" s="301"/>
      <c r="V131" s="301"/>
      <c r="W131" s="301"/>
      <c r="X131" s="301"/>
      <c r="Y131" s="301"/>
      <c r="Z131" s="301"/>
      <c r="AA131" s="301"/>
      <c r="AB131" s="503"/>
      <c r="AC131" s="301"/>
      <c r="AD131" s="301"/>
      <c r="AE131" s="301"/>
      <c r="AF131" s="301"/>
    </row>
    <row r="132" spans="1:32" ht="12.75">
      <c r="A132" s="13" t="s">
        <v>524</v>
      </c>
      <c r="B132" s="301">
        <v>2.4250526230141043</v>
      </c>
      <c r="C132" s="301"/>
      <c r="D132" s="301">
        <v>5</v>
      </c>
      <c r="E132" s="301"/>
      <c r="F132" s="301">
        <v>2.3037999918633987</v>
      </c>
      <c r="G132" s="301"/>
      <c r="H132" s="301">
        <v>8.317462745050063</v>
      </c>
      <c r="I132" s="301"/>
      <c r="J132" s="301">
        <v>2.1121822858196935</v>
      </c>
      <c r="K132" s="301"/>
      <c r="L132" s="301">
        <v>16</v>
      </c>
      <c r="M132" s="301"/>
      <c r="N132" s="301">
        <v>44</v>
      </c>
      <c r="O132" s="301"/>
      <c r="P132" s="48">
        <f>0.01*65.160635843119</f>
        <v>0.65160635843119</v>
      </c>
      <c r="Q132" s="301"/>
      <c r="R132" s="301">
        <v>0.8448729143278776</v>
      </c>
      <c r="S132" s="301"/>
      <c r="T132" s="301"/>
      <c r="U132" s="301"/>
      <c r="V132" s="301">
        <v>0.03703552501163299</v>
      </c>
      <c r="W132" s="301"/>
      <c r="X132" s="301">
        <v>1.0499386163172895</v>
      </c>
      <c r="Y132" s="301"/>
      <c r="Z132" s="301">
        <v>62</v>
      </c>
      <c r="AA132" s="301"/>
      <c r="AB132" s="503">
        <v>207.7</v>
      </c>
      <c r="AC132" s="301"/>
      <c r="AD132" s="301">
        <v>0.3134145123335193</v>
      </c>
      <c r="AE132" s="301"/>
      <c r="AF132" s="301">
        <v>0.0050550727795728905</v>
      </c>
    </row>
    <row r="133" spans="1:32" ht="12.75">
      <c r="A133" s="13" t="s">
        <v>525</v>
      </c>
      <c r="B133" s="301">
        <v>0.8243739926640774</v>
      </c>
      <c r="C133" s="301"/>
      <c r="D133" s="301">
        <v>66.75</v>
      </c>
      <c r="E133" s="301"/>
      <c r="F133" s="301">
        <v>0.27410435256080573</v>
      </c>
      <c r="G133" s="301"/>
      <c r="H133" s="301">
        <v>6</v>
      </c>
      <c r="I133" s="301"/>
      <c r="J133" s="301">
        <v>0.2576580914071574</v>
      </c>
      <c r="K133" s="301"/>
      <c r="L133" s="301">
        <v>0</v>
      </c>
      <c r="M133" s="301"/>
      <c r="N133" s="301">
        <v>10</v>
      </c>
      <c r="O133" s="301"/>
      <c r="P133" s="48">
        <f>0.01*71.8705</f>
        <v>0.718705</v>
      </c>
      <c r="Q133" s="301"/>
      <c r="R133" s="301">
        <v>0.23189228226644168</v>
      </c>
      <c r="S133" s="301"/>
      <c r="T133" s="301">
        <v>0.026501975116164762</v>
      </c>
      <c r="U133" s="301"/>
      <c r="V133" s="301">
        <v>0.01016514114044676</v>
      </c>
      <c r="W133" s="301"/>
      <c r="X133" s="301">
        <v>0.2881766687610953</v>
      </c>
      <c r="Y133" s="301"/>
      <c r="Z133" s="301">
        <v>52</v>
      </c>
      <c r="AA133" s="301"/>
      <c r="AB133" s="503">
        <v>249</v>
      </c>
      <c r="AC133" s="301"/>
      <c r="AD133" s="301">
        <v>0.06018147299428498</v>
      </c>
      <c r="AE133" s="301"/>
      <c r="AF133" s="301">
        <v>0.001157336019120865</v>
      </c>
    </row>
    <row r="134" spans="1:35" ht="12.75">
      <c r="A134" s="228" t="s">
        <v>134</v>
      </c>
      <c r="B134" s="421">
        <f>SUM(B132:B133)</f>
        <v>3.249426615678182</v>
      </c>
      <c r="C134" s="421"/>
      <c r="D134" s="421"/>
      <c r="E134" s="421"/>
      <c r="F134" s="421"/>
      <c r="G134" s="421"/>
      <c r="H134" s="421"/>
      <c r="I134" s="421"/>
      <c r="J134" s="421"/>
      <c r="K134" s="421"/>
      <c r="L134" s="421"/>
      <c r="M134" s="421"/>
      <c r="N134" s="421"/>
      <c r="O134" s="421"/>
      <c r="P134" s="422">
        <f>1-(R134/B134)</f>
        <v>0.6686291694051415</v>
      </c>
      <c r="Q134" s="421"/>
      <c r="R134" s="421">
        <f>SUM(R132:R133)</f>
        <v>1.0767651965943192</v>
      </c>
      <c r="S134" s="421"/>
      <c r="T134" s="421"/>
      <c r="U134" s="421"/>
      <c r="V134" s="421">
        <f>SUM(V132:V133)</f>
        <v>0.047200666152079754</v>
      </c>
      <c r="W134" s="421"/>
      <c r="X134" s="421">
        <f>SUM(X132:X133)</f>
        <v>1.3381152850783848</v>
      </c>
      <c r="Y134" s="421"/>
      <c r="Z134" s="421"/>
      <c r="AA134" s="421"/>
      <c r="AB134" s="500"/>
      <c r="AC134" s="421"/>
      <c r="AD134" s="421">
        <f>SUM(AD132:AD133)</f>
        <v>0.3735959853278043</v>
      </c>
      <c r="AE134" s="421">
        <f>SUM(AE132:AE133)</f>
        <v>0</v>
      </c>
      <c r="AF134" s="421">
        <f>SUM(AF132:AF133)</f>
        <v>0.006212408798693755</v>
      </c>
      <c r="AH134" s="453">
        <f>B134/AF134</f>
        <v>523.0542163228889</v>
      </c>
      <c r="AI134" s="454">
        <f>AF134/B134</f>
        <v>0.0019118476991354287</v>
      </c>
    </row>
    <row r="135" spans="1:32" ht="12.75">
      <c r="A135" s="13"/>
      <c r="B135" s="301"/>
      <c r="C135" s="301"/>
      <c r="D135" s="301"/>
      <c r="E135" s="301"/>
      <c r="F135" s="301"/>
      <c r="G135" s="301"/>
      <c r="H135" s="301"/>
      <c r="I135" s="301"/>
      <c r="J135" s="301"/>
      <c r="K135" s="301"/>
      <c r="L135" s="301"/>
      <c r="M135" s="301"/>
      <c r="N135" s="301"/>
      <c r="O135" s="301"/>
      <c r="P135" s="48"/>
      <c r="Q135" s="301"/>
      <c r="R135" s="301"/>
      <c r="S135" s="301"/>
      <c r="T135" s="301"/>
      <c r="U135" s="301"/>
      <c r="V135" s="301"/>
      <c r="W135" s="301"/>
      <c r="X135" s="301"/>
      <c r="Y135" s="301"/>
      <c r="Z135" s="301"/>
      <c r="AA135" s="301"/>
      <c r="AB135" s="503"/>
      <c r="AC135" s="301"/>
      <c r="AD135" s="301"/>
      <c r="AE135" s="301"/>
      <c r="AF135" s="301"/>
    </row>
    <row r="136" spans="1:32" ht="12.75">
      <c r="A136" s="8" t="s">
        <v>521</v>
      </c>
      <c r="B136" s="301"/>
      <c r="C136" s="301"/>
      <c r="D136" s="301"/>
      <c r="E136" s="301"/>
      <c r="F136" s="301"/>
      <c r="G136" s="301"/>
      <c r="H136" s="301"/>
      <c r="I136" s="301"/>
      <c r="J136" s="301"/>
      <c r="K136" s="301"/>
      <c r="L136" s="301"/>
      <c r="M136" s="301"/>
      <c r="N136" s="301"/>
      <c r="O136" s="301"/>
      <c r="P136" s="48"/>
      <c r="Q136" s="301"/>
      <c r="R136" s="301"/>
      <c r="S136" s="301"/>
      <c r="T136" s="301"/>
      <c r="U136" s="301"/>
      <c r="V136" s="301"/>
      <c r="W136" s="301"/>
      <c r="X136" s="301"/>
      <c r="Y136" s="301"/>
      <c r="Z136" s="301"/>
      <c r="AA136" s="301"/>
      <c r="AB136" s="503"/>
      <c r="AC136" s="301"/>
      <c r="AD136" s="301"/>
      <c r="AE136" s="301"/>
      <c r="AF136" s="301"/>
    </row>
    <row r="137" spans="1:35" ht="12.75">
      <c r="A137" s="13" t="s">
        <v>156</v>
      </c>
      <c r="B137" s="301">
        <v>3.046951645104296</v>
      </c>
      <c r="C137" s="301"/>
      <c r="D137" s="301">
        <v>5</v>
      </c>
      <c r="E137" s="301"/>
      <c r="F137" s="301">
        <v>2.8946040628490817</v>
      </c>
      <c r="G137" s="301"/>
      <c r="H137" s="301">
        <v>20.437688512800264</v>
      </c>
      <c r="I137" s="301"/>
      <c r="J137" s="301">
        <v>2.303013900805125</v>
      </c>
      <c r="K137" s="301"/>
      <c r="L137" s="301">
        <v>26</v>
      </c>
      <c r="M137" s="301"/>
      <c r="N137" s="301">
        <v>52</v>
      </c>
      <c r="O137" s="301"/>
      <c r="P137" s="48">
        <f>0.01*83.3714768991753</f>
        <v>0.8337147689917531</v>
      </c>
      <c r="Q137" s="301"/>
      <c r="R137" s="301">
        <v>0.5066630581771274</v>
      </c>
      <c r="S137" s="301"/>
      <c r="T137" s="301"/>
      <c r="U137" s="301"/>
      <c r="V137" s="301">
        <v>0.022209887481737096</v>
      </c>
      <c r="W137" s="301"/>
      <c r="X137" s="301">
        <v>0.6296392051635058</v>
      </c>
      <c r="Y137" s="301"/>
      <c r="Z137" s="301">
        <v>103</v>
      </c>
      <c r="AA137" s="301"/>
      <c r="AB137" s="503">
        <v>195</v>
      </c>
      <c r="AC137" s="301"/>
      <c r="AD137" s="301">
        <v>0.3325786570863646</v>
      </c>
      <c r="AE137" s="301"/>
      <c r="AF137" s="301">
        <v>0.0032289190008384914</v>
      </c>
      <c r="AH137" s="246">
        <f>B137/AF137</f>
        <v>943.6444965987249</v>
      </c>
      <c r="AI137" s="451">
        <f>AF137/B137</f>
        <v>0.0010597211170143026</v>
      </c>
    </row>
    <row r="138" spans="1:32" ht="12.75">
      <c r="A138" s="13"/>
      <c r="B138" s="301"/>
      <c r="C138" s="301"/>
      <c r="D138" s="301"/>
      <c r="E138" s="301"/>
      <c r="F138" s="301"/>
      <c r="G138" s="301"/>
      <c r="H138" s="301"/>
      <c r="I138" s="301"/>
      <c r="J138" s="301"/>
      <c r="K138" s="301"/>
      <c r="L138" s="301"/>
      <c r="M138" s="301"/>
      <c r="N138" s="301"/>
      <c r="O138" s="301"/>
      <c r="P138" s="48"/>
      <c r="Q138" s="301"/>
      <c r="R138" s="301"/>
      <c r="S138" s="301"/>
      <c r="T138" s="301"/>
      <c r="U138" s="301"/>
      <c r="V138" s="301"/>
      <c r="W138" s="301"/>
      <c r="X138" s="301"/>
      <c r="Y138" s="301"/>
      <c r="Z138" s="301"/>
      <c r="AA138" s="301"/>
      <c r="AB138" s="503"/>
      <c r="AC138" s="301"/>
      <c r="AD138" s="301"/>
      <c r="AE138" s="301"/>
      <c r="AF138" s="301"/>
    </row>
    <row r="139" spans="1:32" ht="12.75">
      <c r="A139" s="8" t="s">
        <v>527</v>
      </c>
      <c r="B139" s="301"/>
      <c r="C139" s="301"/>
      <c r="D139" s="301"/>
      <c r="E139" s="301"/>
      <c r="F139" s="301"/>
      <c r="G139" s="301"/>
      <c r="H139" s="301"/>
      <c r="I139" s="301"/>
      <c r="J139" s="301"/>
      <c r="K139" s="301"/>
      <c r="L139" s="301"/>
      <c r="M139" s="301"/>
      <c r="N139" s="301"/>
      <c r="O139" s="301"/>
      <c r="P139" s="48"/>
      <c r="Q139" s="301"/>
      <c r="R139" s="301"/>
      <c r="S139" s="301"/>
      <c r="T139" s="301"/>
      <c r="U139" s="301"/>
      <c r="V139" s="301"/>
      <c r="W139" s="301"/>
      <c r="X139" s="301"/>
      <c r="Y139" s="301"/>
      <c r="Z139" s="301"/>
      <c r="AA139" s="301"/>
      <c r="AB139" s="503"/>
      <c r="AC139" s="301"/>
      <c r="AD139" s="301"/>
      <c r="AE139" s="301"/>
      <c r="AF139" s="301"/>
    </row>
    <row r="140" spans="1:35" ht="12.75">
      <c r="A140" s="13" t="s">
        <v>156</v>
      </c>
      <c r="B140" s="301">
        <v>2.1121617890151554</v>
      </c>
      <c r="C140" s="301"/>
      <c r="D140" s="301">
        <v>5</v>
      </c>
      <c r="E140" s="301"/>
      <c r="F140" s="301">
        <v>2.0065536995643978</v>
      </c>
      <c r="G140" s="301"/>
      <c r="H140" s="301">
        <v>14.465165583510986</v>
      </c>
      <c r="I140" s="301"/>
      <c r="J140" s="301">
        <v>1.716302384400342</v>
      </c>
      <c r="K140" s="301"/>
      <c r="L140" s="301">
        <v>31</v>
      </c>
      <c r="M140" s="301"/>
      <c r="N140" s="301">
        <v>13</v>
      </c>
      <c r="O140" s="301"/>
      <c r="P140" s="48">
        <f>0.01*54.4954680904278</f>
        <v>0.544954680904278</v>
      </c>
      <c r="Q140" s="301"/>
      <c r="R140" s="301">
        <v>0.9611293352641915</v>
      </c>
      <c r="S140" s="301"/>
      <c r="T140" s="301"/>
      <c r="U140" s="301"/>
      <c r="V140" s="301">
        <v>0.042131696888293324</v>
      </c>
      <c r="W140" s="301"/>
      <c r="X140" s="301">
        <v>1.1944125409346715</v>
      </c>
      <c r="Y140" s="301"/>
      <c r="Z140" s="301">
        <v>107</v>
      </c>
      <c r="AA140" s="301"/>
      <c r="AB140" s="503">
        <v>165</v>
      </c>
      <c r="AC140" s="301"/>
      <c r="AD140" s="301">
        <v>0.7745584356364235</v>
      </c>
      <c r="AE140" s="301"/>
      <c r="AF140" s="301">
        <v>0.007238863884452555</v>
      </c>
      <c r="AH140" s="246">
        <f>B140/AF140</f>
        <v>291.7808405752181</v>
      </c>
      <c r="AI140" s="451">
        <f>AF140/B140</f>
        <v>0.0034272298278001916</v>
      </c>
    </row>
    <row r="141" spans="1:32" ht="12.75">
      <c r="A141" s="13"/>
      <c r="B141" s="301"/>
      <c r="C141" s="301"/>
      <c r="D141" s="301"/>
      <c r="E141" s="301"/>
      <c r="F141" s="301"/>
      <c r="G141" s="301"/>
      <c r="H141" s="301"/>
      <c r="I141" s="301"/>
      <c r="J141" s="301"/>
      <c r="K141" s="301"/>
      <c r="L141" s="301"/>
      <c r="M141" s="301"/>
      <c r="N141" s="301"/>
      <c r="O141" s="301"/>
      <c r="P141" s="48"/>
      <c r="Q141" s="301"/>
      <c r="R141" s="301"/>
      <c r="S141" s="301"/>
      <c r="T141" s="301"/>
      <c r="U141" s="301"/>
      <c r="V141" s="301"/>
      <c r="W141" s="301"/>
      <c r="X141" s="301"/>
      <c r="Y141" s="301"/>
      <c r="Z141" s="301"/>
      <c r="AA141" s="301"/>
      <c r="AB141" s="503"/>
      <c r="AC141" s="301"/>
      <c r="AD141" s="301"/>
      <c r="AE141" s="301"/>
      <c r="AF141" s="301"/>
    </row>
    <row r="142" spans="1:32" ht="12.75">
      <c r="A142" s="8" t="s">
        <v>528</v>
      </c>
      <c r="B142" s="301"/>
      <c r="C142" s="301"/>
      <c r="D142" s="301"/>
      <c r="E142" s="301"/>
      <c r="F142" s="301"/>
      <c r="G142" s="301"/>
      <c r="H142" s="301"/>
      <c r="I142" s="301"/>
      <c r="J142" s="301"/>
      <c r="K142" s="301"/>
      <c r="L142" s="301"/>
      <c r="M142" s="301"/>
      <c r="N142" s="301"/>
      <c r="O142" s="301"/>
      <c r="P142" s="48"/>
      <c r="Q142" s="301"/>
      <c r="R142" s="301"/>
      <c r="S142" s="301"/>
      <c r="T142" s="301"/>
      <c r="U142" s="301"/>
      <c r="V142" s="301"/>
      <c r="W142" s="301"/>
      <c r="X142" s="301"/>
      <c r="Y142" s="301"/>
      <c r="Z142" s="301"/>
      <c r="AA142" s="301"/>
      <c r="AB142" s="503"/>
      <c r="AC142" s="301"/>
      <c r="AD142" s="301"/>
      <c r="AE142" s="301"/>
      <c r="AF142" s="301"/>
    </row>
    <row r="143" spans="1:35" ht="12.75">
      <c r="A143" s="13" t="s">
        <v>157</v>
      </c>
      <c r="B143" s="301">
        <v>1.1719170306795637</v>
      </c>
      <c r="C143" s="301"/>
      <c r="D143" s="301">
        <v>5.660377358490576</v>
      </c>
      <c r="E143" s="301"/>
      <c r="F143" s="301">
        <v>1.1055821044146825</v>
      </c>
      <c r="G143" s="301"/>
      <c r="H143" s="301">
        <v>6</v>
      </c>
      <c r="I143" s="301"/>
      <c r="J143" s="301">
        <v>1.0392471781498016</v>
      </c>
      <c r="K143" s="301"/>
      <c r="L143" s="301">
        <v>0</v>
      </c>
      <c r="M143" s="301"/>
      <c r="N143" s="301">
        <v>25</v>
      </c>
      <c r="O143" s="301"/>
      <c r="P143" s="48">
        <f>0.01*33.4905660377359</f>
        <v>0.334905660377359</v>
      </c>
      <c r="Q143" s="301"/>
      <c r="R143" s="301">
        <v>0.7794353836123512</v>
      </c>
      <c r="S143" s="301"/>
      <c r="T143" s="301"/>
      <c r="U143" s="301"/>
      <c r="V143" s="301">
        <v>0.03416703051451402</v>
      </c>
      <c r="W143" s="301"/>
      <c r="X143" s="301">
        <v>0.9686182315712152</v>
      </c>
      <c r="Y143" s="301"/>
      <c r="Z143" s="301">
        <v>164</v>
      </c>
      <c r="AA143" s="301"/>
      <c r="AB143" s="503">
        <v>140</v>
      </c>
      <c r="AC143" s="301"/>
      <c r="AD143" s="301">
        <v>1.134667071269138</v>
      </c>
      <c r="AE143" s="301"/>
      <c r="AF143" s="301">
        <v>0.006918701654080109</v>
      </c>
      <c r="AH143" s="246">
        <f>B143/AF143</f>
        <v>169.38395226053123</v>
      </c>
      <c r="AI143" s="451">
        <f>AF143/B143</f>
        <v>0.005903746999963075</v>
      </c>
    </row>
    <row r="144" spans="1:32" ht="12.75">
      <c r="A144" s="13"/>
      <c r="B144" s="301"/>
      <c r="C144" s="301"/>
      <c r="D144" s="301"/>
      <c r="E144" s="301"/>
      <c r="F144" s="301"/>
      <c r="G144" s="301"/>
      <c r="H144" s="301"/>
      <c r="I144" s="301"/>
      <c r="J144" s="301"/>
      <c r="K144" s="301"/>
      <c r="L144" s="301"/>
      <c r="M144" s="301"/>
      <c r="N144" s="301"/>
      <c r="O144" s="301"/>
      <c r="P144" s="48"/>
      <c r="Q144" s="301"/>
      <c r="R144" s="301"/>
      <c r="S144" s="301"/>
      <c r="T144" s="301"/>
      <c r="U144" s="301"/>
      <c r="V144" s="301"/>
      <c r="W144" s="301"/>
      <c r="X144" s="301"/>
      <c r="Y144" s="301"/>
      <c r="Z144" s="301"/>
      <c r="AA144" s="301"/>
      <c r="AB144" s="503"/>
      <c r="AC144" s="301"/>
      <c r="AD144" s="301"/>
      <c r="AE144" s="301"/>
      <c r="AF144" s="301"/>
    </row>
    <row r="145" spans="1:32" ht="12.75">
      <c r="A145" s="456" t="s">
        <v>566</v>
      </c>
      <c r="B145" s="301"/>
      <c r="C145" s="301"/>
      <c r="D145" s="301"/>
      <c r="E145" s="301"/>
      <c r="F145" s="301"/>
      <c r="G145" s="301"/>
      <c r="H145" s="301"/>
      <c r="I145" s="301"/>
      <c r="J145" s="301"/>
      <c r="K145" s="301"/>
      <c r="L145" s="301"/>
      <c r="M145" s="301"/>
      <c r="N145" s="301"/>
      <c r="O145" s="301"/>
      <c r="P145" s="48"/>
      <c r="Q145" s="301"/>
      <c r="R145" s="301"/>
      <c r="S145" s="301"/>
      <c r="T145" s="301"/>
      <c r="U145" s="301"/>
      <c r="V145" s="301"/>
      <c r="W145" s="301"/>
      <c r="X145" s="301"/>
      <c r="Y145" s="301"/>
      <c r="Z145" s="301"/>
      <c r="AA145" s="301"/>
      <c r="AB145" s="503"/>
      <c r="AC145" s="301"/>
      <c r="AD145" s="301"/>
      <c r="AE145" s="301"/>
      <c r="AF145" s="301"/>
    </row>
    <row r="146" spans="1:35" ht="12.75">
      <c r="A146" s="458" t="s">
        <v>156</v>
      </c>
      <c r="B146" s="301">
        <v>0.4723065307554421</v>
      </c>
      <c r="C146" s="301"/>
      <c r="D146" s="301">
        <v>9</v>
      </c>
      <c r="E146" s="301"/>
      <c r="F146" s="301">
        <v>0.4297989429874523</v>
      </c>
      <c r="G146" s="301"/>
      <c r="H146" s="301">
        <v>12.655465353913275</v>
      </c>
      <c r="I146" s="301"/>
      <c r="J146" s="301">
        <v>0.3754058866661898</v>
      </c>
      <c r="K146" s="301"/>
      <c r="L146" s="301">
        <v>14</v>
      </c>
      <c r="M146" s="301"/>
      <c r="N146" s="301">
        <v>45</v>
      </c>
      <c r="O146" s="301"/>
      <c r="P146" s="48">
        <f>0.01*67.4117541235451</f>
        <v>0.674117541235451</v>
      </c>
      <c r="Q146" s="301"/>
      <c r="R146" s="301">
        <v>0.15391641353313784</v>
      </c>
      <c r="S146" s="301"/>
      <c r="T146" s="301"/>
      <c r="U146" s="301"/>
      <c r="V146" s="301">
        <v>0.006747020867206041</v>
      </c>
      <c r="W146" s="301"/>
      <c r="X146" s="301">
        <v>0.19127466807485766</v>
      </c>
      <c r="Y146" s="301"/>
      <c r="Z146" s="301">
        <v>108</v>
      </c>
      <c r="AA146" s="301"/>
      <c r="AB146" s="503">
        <v>177</v>
      </c>
      <c r="AC146" s="301"/>
      <c r="AD146" s="301">
        <v>0.1167099669609301</v>
      </c>
      <c r="AE146" s="301"/>
      <c r="AF146" s="301">
        <v>0.0010806478422308342</v>
      </c>
      <c r="AH146" s="246">
        <f>B146/AF146</f>
        <v>437.0586904429815</v>
      </c>
      <c r="AI146" s="451">
        <f>AF146/B146</f>
        <v>0.0022880222310336595</v>
      </c>
    </row>
    <row r="147" spans="1:32" ht="12.75">
      <c r="A147" s="326"/>
      <c r="B147" s="301"/>
      <c r="C147" s="301"/>
      <c r="D147" s="301"/>
      <c r="E147" s="301"/>
      <c r="F147" s="301"/>
      <c r="G147" s="301"/>
      <c r="H147" s="301"/>
      <c r="I147" s="301"/>
      <c r="J147" s="301"/>
      <c r="K147" s="301"/>
      <c r="L147" s="301"/>
      <c r="M147" s="301"/>
      <c r="N147" s="301"/>
      <c r="O147" s="301"/>
      <c r="P147" s="48"/>
      <c r="Q147" s="301"/>
      <c r="R147" s="301"/>
      <c r="S147" s="301"/>
      <c r="T147" s="301"/>
      <c r="U147" s="301"/>
      <c r="V147" s="301"/>
      <c r="W147" s="301"/>
      <c r="X147" s="301"/>
      <c r="Y147" s="301"/>
      <c r="Z147" s="301"/>
      <c r="AA147" s="301"/>
      <c r="AB147" s="503"/>
      <c r="AC147" s="301"/>
      <c r="AD147" s="301"/>
      <c r="AE147" s="301"/>
      <c r="AF147" s="301"/>
    </row>
    <row r="148" spans="1:32" ht="12.75">
      <c r="A148" s="456" t="s">
        <v>567</v>
      </c>
      <c r="B148" s="301"/>
      <c r="C148" s="301"/>
      <c r="D148" s="301"/>
      <c r="E148" s="301"/>
      <c r="F148" s="301"/>
      <c r="G148" s="301"/>
      <c r="H148" s="301"/>
      <c r="I148" s="301"/>
      <c r="J148" s="301"/>
      <c r="K148" s="301"/>
      <c r="L148" s="301"/>
      <c r="M148" s="301"/>
      <c r="N148" s="301"/>
      <c r="O148" s="301"/>
      <c r="P148" s="48"/>
      <c r="Q148" s="301"/>
      <c r="R148" s="301"/>
      <c r="S148" s="301"/>
      <c r="T148" s="301"/>
      <c r="U148" s="301"/>
      <c r="V148" s="301"/>
      <c r="W148" s="301"/>
      <c r="X148" s="301"/>
      <c r="Y148" s="301"/>
      <c r="Z148" s="301"/>
      <c r="AA148" s="301"/>
      <c r="AB148" s="503"/>
      <c r="AC148" s="301"/>
      <c r="AD148" s="301"/>
      <c r="AE148" s="301"/>
      <c r="AF148" s="301"/>
    </row>
    <row r="149" spans="1:35" ht="12.75">
      <c r="A149" s="326" t="s">
        <v>156</v>
      </c>
      <c r="B149" s="301">
        <v>1.0920541320844515</v>
      </c>
      <c r="C149" s="301"/>
      <c r="D149" s="301">
        <v>5</v>
      </c>
      <c r="E149" s="301"/>
      <c r="F149" s="301">
        <v>1.037451425480229</v>
      </c>
      <c r="G149" s="301"/>
      <c r="H149" s="301">
        <v>54.89067905605425</v>
      </c>
      <c r="I149" s="301"/>
      <c r="J149" s="301">
        <v>0.4679872931574166</v>
      </c>
      <c r="K149" s="301"/>
      <c r="L149" s="301">
        <v>33</v>
      </c>
      <c r="M149" s="301"/>
      <c r="N149" s="301">
        <v>20</v>
      </c>
      <c r="O149" s="301"/>
      <c r="P149" s="48">
        <f>0.01*79.8586881985282</f>
        <v>0.798586881985282</v>
      </c>
      <c r="Q149" s="301"/>
      <c r="R149" s="301">
        <v>0.21995402778398582</v>
      </c>
      <c r="S149" s="301"/>
      <c r="T149" s="301"/>
      <c r="U149" s="301"/>
      <c r="V149" s="301">
        <v>0.009641820396010334</v>
      </c>
      <c r="W149" s="301"/>
      <c r="X149" s="301">
        <v>0.273340787316695</v>
      </c>
      <c r="Y149" s="301"/>
      <c r="Z149" s="301">
        <v>59</v>
      </c>
      <c r="AA149" s="301"/>
      <c r="AB149" s="503">
        <v>152</v>
      </c>
      <c r="AC149" s="301"/>
      <c r="AD149" s="301">
        <v>0.10609938455055926</v>
      </c>
      <c r="AE149" s="301"/>
      <c r="AF149" s="301">
        <v>0.0017982946533993092</v>
      </c>
      <c r="AH149" s="246">
        <f>B149/AF149</f>
        <v>607.2720785885372</v>
      </c>
      <c r="AI149" s="451">
        <f>AF149/B149</f>
        <v>0.0016467083458278993</v>
      </c>
    </row>
    <row r="150" spans="1:32" ht="12.75">
      <c r="A150" s="326"/>
      <c r="B150" s="301"/>
      <c r="C150" s="301"/>
      <c r="D150" s="301"/>
      <c r="E150" s="301"/>
      <c r="F150" s="301"/>
      <c r="G150" s="301"/>
      <c r="H150" s="301"/>
      <c r="I150" s="301"/>
      <c r="J150" s="301"/>
      <c r="K150" s="301"/>
      <c r="L150" s="301"/>
      <c r="M150" s="301"/>
      <c r="N150" s="301"/>
      <c r="O150" s="301"/>
      <c r="P150" s="48"/>
      <c r="Q150" s="301"/>
      <c r="R150" s="301"/>
      <c r="S150" s="301"/>
      <c r="T150" s="301"/>
      <c r="U150" s="301"/>
      <c r="V150" s="301"/>
      <c r="W150" s="301"/>
      <c r="X150" s="301"/>
      <c r="Y150" s="301"/>
      <c r="Z150" s="301"/>
      <c r="AA150" s="301"/>
      <c r="AB150" s="503"/>
      <c r="AC150" s="301"/>
      <c r="AD150" s="301"/>
      <c r="AE150" s="301"/>
      <c r="AF150" s="301"/>
    </row>
    <row r="151" spans="1:32" ht="12.75">
      <c r="A151" s="456" t="s">
        <v>568</v>
      </c>
      <c r="B151" s="301"/>
      <c r="C151" s="301"/>
      <c r="D151" s="301"/>
      <c r="E151" s="301"/>
      <c r="F151" s="301"/>
      <c r="G151" s="301"/>
      <c r="H151" s="301"/>
      <c r="I151" s="301"/>
      <c r="J151" s="301"/>
      <c r="K151" s="301"/>
      <c r="L151" s="301"/>
      <c r="M151" s="301"/>
      <c r="N151" s="301"/>
      <c r="O151" s="301"/>
      <c r="P151" s="48"/>
      <c r="Q151" s="301"/>
      <c r="R151" s="301"/>
      <c r="S151" s="301"/>
      <c r="T151" s="301"/>
      <c r="U151" s="301"/>
      <c r="V151" s="301"/>
      <c r="W151" s="301"/>
      <c r="X151" s="301"/>
      <c r="Y151" s="301"/>
      <c r="Z151" s="301"/>
      <c r="AA151" s="301"/>
      <c r="AB151" s="503"/>
      <c r="AC151" s="301"/>
      <c r="AD151" s="301"/>
      <c r="AE151" s="301"/>
      <c r="AF151" s="301"/>
    </row>
    <row r="152" spans="1:35" ht="12.75">
      <c r="A152" s="326" t="s">
        <v>167</v>
      </c>
      <c r="B152" s="301">
        <v>0.2129376749392915</v>
      </c>
      <c r="C152" s="301"/>
      <c r="D152" s="301">
        <v>6.542056074766355</v>
      </c>
      <c r="E152" s="301"/>
      <c r="F152" s="301">
        <v>0.19900717284045935</v>
      </c>
      <c r="G152" s="301"/>
      <c r="H152" s="301">
        <v>6</v>
      </c>
      <c r="I152" s="301"/>
      <c r="J152" s="301">
        <v>0.18706674247003177</v>
      </c>
      <c r="K152" s="301"/>
      <c r="L152" s="301">
        <v>10</v>
      </c>
      <c r="M152" s="301"/>
      <c r="N152" s="301">
        <v>25</v>
      </c>
      <c r="O152" s="301"/>
      <c r="P152" s="48">
        <f>0.01*42.8971962616822</f>
        <v>0.42897196261682197</v>
      </c>
      <c r="Q152" s="301"/>
      <c r="R152" s="301">
        <v>0.12159338260552066</v>
      </c>
      <c r="S152" s="301"/>
      <c r="T152" s="301"/>
      <c r="U152" s="301"/>
      <c r="V152" s="301">
        <v>0.005330120881337892</v>
      </c>
      <c r="W152" s="301"/>
      <c r="X152" s="301">
        <v>0.15110626192548854</v>
      </c>
      <c r="Y152" s="301"/>
      <c r="Z152" s="301">
        <v>207</v>
      </c>
      <c r="AA152" s="301"/>
      <c r="AB152" s="503">
        <v>73.5</v>
      </c>
      <c r="AC152" s="301"/>
      <c r="AD152" s="301">
        <v>0.42556457440239637</v>
      </c>
      <c r="AE152" s="301"/>
      <c r="AF152" s="301">
        <v>0.0020558675091903204</v>
      </c>
      <c r="AH152" s="246">
        <f>B152/AF152</f>
        <v>103.57558256424537</v>
      </c>
      <c r="AI152" s="451">
        <f>AF152/B152</f>
        <v>0.009654785184333622</v>
      </c>
    </row>
    <row r="153" spans="1:32" ht="12.75">
      <c r="A153" s="326"/>
      <c r="B153" s="301"/>
      <c r="C153" s="301"/>
      <c r="D153" s="301"/>
      <c r="E153" s="301"/>
      <c r="F153" s="301"/>
      <c r="G153" s="301"/>
      <c r="H153" s="301"/>
      <c r="I153" s="301"/>
      <c r="J153" s="301"/>
      <c r="K153" s="301"/>
      <c r="L153" s="301"/>
      <c r="M153" s="301"/>
      <c r="N153" s="301"/>
      <c r="O153" s="301"/>
      <c r="P153" s="48"/>
      <c r="Q153" s="301"/>
      <c r="R153" s="301"/>
      <c r="S153" s="301"/>
      <c r="T153" s="301"/>
      <c r="U153" s="301"/>
      <c r="V153" s="301"/>
      <c r="W153" s="301"/>
      <c r="X153" s="301"/>
      <c r="Y153" s="301"/>
      <c r="Z153" s="301"/>
      <c r="AA153" s="301"/>
      <c r="AB153" s="503"/>
      <c r="AC153" s="301"/>
      <c r="AD153" s="301"/>
      <c r="AE153" s="301"/>
      <c r="AF153" s="301"/>
    </row>
    <row r="154" spans="1:32" ht="12.75">
      <c r="A154" s="456" t="s">
        <v>569</v>
      </c>
      <c r="B154" s="301"/>
      <c r="C154" s="301"/>
      <c r="D154" s="301"/>
      <c r="E154" s="301"/>
      <c r="F154" s="301"/>
      <c r="G154" s="301"/>
      <c r="H154" s="301"/>
      <c r="I154" s="301"/>
      <c r="J154" s="301"/>
      <c r="K154" s="301"/>
      <c r="L154" s="301"/>
      <c r="M154" s="301"/>
      <c r="N154" s="301"/>
      <c r="O154" s="301"/>
      <c r="P154" s="48"/>
      <c r="Q154" s="301"/>
      <c r="R154" s="301"/>
      <c r="S154" s="301"/>
      <c r="T154" s="301"/>
      <c r="U154" s="301"/>
      <c r="V154" s="301"/>
      <c r="W154" s="301"/>
      <c r="X154" s="301"/>
      <c r="Y154" s="301"/>
      <c r="Z154" s="301"/>
      <c r="AA154" s="301"/>
      <c r="AB154" s="503"/>
      <c r="AC154" s="301"/>
      <c r="AD154" s="301"/>
      <c r="AE154" s="301"/>
      <c r="AF154" s="301"/>
    </row>
    <row r="155" spans="1:35" ht="12.75">
      <c r="A155" s="326" t="s">
        <v>167</v>
      </c>
      <c r="B155" s="301">
        <v>0.2550561603489133</v>
      </c>
      <c r="C155" s="301"/>
      <c r="D155" s="301">
        <v>65.98639455782313</v>
      </c>
      <c r="E155" s="301"/>
      <c r="F155" s="301">
        <v>0.08675379603704532</v>
      </c>
      <c r="G155" s="301"/>
      <c r="H155" s="301">
        <v>6</v>
      </c>
      <c r="I155" s="301"/>
      <c r="J155" s="301">
        <v>0.0815485682748226</v>
      </c>
      <c r="K155" s="301"/>
      <c r="L155" s="301">
        <v>0</v>
      </c>
      <c r="M155" s="301"/>
      <c r="N155" s="301">
        <v>25</v>
      </c>
      <c r="O155" s="301"/>
      <c r="P155" s="48">
        <f>0.01*76.0204081632653</f>
        <v>0.7602040816326531</v>
      </c>
      <c r="Q155" s="301"/>
      <c r="R155" s="301">
        <v>0.061161426206116934</v>
      </c>
      <c r="S155" s="301"/>
      <c r="T155" s="301"/>
      <c r="U155" s="301"/>
      <c r="V155" s="301">
        <v>0.0026810488199941673</v>
      </c>
      <c r="W155" s="301"/>
      <c r="X155" s="301">
        <v>0.07600639352242465</v>
      </c>
      <c r="Y155" s="301"/>
      <c r="Z155" s="301">
        <v>186</v>
      </c>
      <c r="AA155" s="301"/>
      <c r="AB155" s="503">
        <v>74.5</v>
      </c>
      <c r="AC155" s="301"/>
      <c r="AD155" s="301">
        <v>0.1897609287942414</v>
      </c>
      <c r="AE155" s="301"/>
      <c r="AF155" s="301">
        <v>0.0010202200472808677</v>
      </c>
      <c r="AH155" s="246">
        <f>B155/AF155</f>
        <v>250.0011257656615</v>
      </c>
      <c r="AI155" s="451">
        <f>AF155/B155</f>
        <v>0.003999981987830526</v>
      </c>
    </row>
    <row r="157" ht="12.75">
      <c r="A157" s="459"/>
    </row>
  </sheetData>
  <sheetProtection/>
  <mergeCells count="32">
    <mergeCell ref="A4:A7"/>
    <mergeCell ref="B4:C7"/>
    <mergeCell ref="D4:E7"/>
    <mergeCell ref="F4:G7"/>
    <mergeCell ref="H4:I7"/>
    <mergeCell ref="J4:K7"/>
    <mergeCell ref="L4:O4"/>
    <mergeCell ref="P4:Q7"/>
    <mergeCell ref="R4:Y7"/>
    <mergeCell ref="Z4:AA7"/>
    <mergeCell ref="AB4:AC7"/>
    <mergeCell ref="AD4:AE7"/>
    <mergeCell ref="AF4:AG7"/>
    <mergeCell ref="AH4:AI7"/>
    <mergeCell ref="L5:M7"/>
    <mergeCell ref="N5:O7"/>
    <mergeCell ref="B8:C8"/>
    <mergeCell ref="D8:E8"/>
    <mergeCell ref="F8:G8"/>
    <mergeCell ref="H8:I8"/>
    <mergeCell ref="J8:K8"/>
    <mergeCell ref="L8:M8"/>
    <mergeCell ref="Z8:AA8"/>
    <mergeCell ref="AB8:AC8"/>
    <mergeCell ref="AD8:AE8"/>
    <mergeCell ref="AF8:AG8"/>
    <mergeCell ref="N8:O8"/>
    <mergeCell ref="P8:Q8"/>
    <mergeCell ref="R8:S8"/>
    <mergeCell ref="T8:U8"/>
    <mergeCell ref="V8:W8"/>
    <mergeCell ref="X8:Y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Brandeis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Brian Donahue</cp:lastModifiedBy>
  <cp:lastPrinted>2011-03-01T13:47:20Z</cp:lastPrinted>
  <dcterms:created xsi:type="dcterms:W3CDTF">2009-12-01T13:25:02Z</dcterms:created>
  <dcterms:modified xsi:type="dcterms:W3CDTF">2014-08-25T15:27:18Z</dcterms:modified>
  <cp:category/>
  <cp:version/>
  <cp:contentType/>
  <cp:contentStatus/>
</cp:coreProperties>
</file>