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comments3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35" yWindow="0" windowWidth="18375" windowHeight="10245" tabRatio="954" activeTab="0"/>
  </bookViews>
  <sheets>
    <sheet name="Ag Footprint" sheetId="1" r:id="rId1"/>
    <sheet name="Diet" sheetId="2" r:id="rId2"/>
    <sheet name="Calories" sheetId="3" r:id="rId3"/>
    <sheet name="Veg" sheetId="4" r:id="rId4"/>
    <sheet name="VegCurrent" sheetId="5" r:id="rId5"/>
    <sheet name="VegY" sheetId="6" r:id="rId6"/>
    <sheet name="Fruit" sheetId="7" r:id="rId7"/>
    <sheet name="FruitCurrent" sheetId="8" r:id="rId8"/>
    <sheet name="FruitY" sheetId="9" r:id="rId9"/>
    <sheet name="Grain" sheetId="10" r:id="rId10"/>
    <sheet name="GrainCurrent" sheetId="11" r:id="rId11"/>
    <sheet name="GrainY" sheetId="12" r:id="rId12"/>
    <sheet name="Protein" sheetId="13" r:id="rId13"/>
    <sheet name="ProteinCurrent" sheetId="14" r:id="rId14"/>
    <sheet name="Dairy" sheetId="15" r:id="rId15"/>
    <sheet name="DairyCurrent" sheetId="16" r:id="rId16"/>
    <sheet name="Livestock" sheetId="17" r:id="rId17"/>
    <sheet name="Cattle" sheetId="18" r:id="rId18"/>
    <sheet name="Lamb" sheetId="19" r:id="rId19"/>
    <sheet name="Pigs" sheetId="20" r:id="rId20"/>
    <sheet name="Chickens" sheetId="21" r:id="rId21"/>
    <sheet name="Turkey" sheetId="22" r:id="rId22"/>
    <sheet name="Nuts" sheetId="23" r:id="rId23"/>
    <sheet name="NutY" sheetId="24" r:id="rId24"/>
    <sheet name="Fat" sheetId="25" r:id="rId25"/>
    <sheet name="FatsCurrent" sheetId="26" r:id="rId26"/>
    <sheet name="OilsY" sheetId="27" r:id="rId27"/>
    <sheet name="Sugars" sheetId="28" r:id="rId28"/>
    <sheet name="SugarsCurrent" sheetId="29" r:id="rId29"/>
    <sheet name="SugarY" sheetId="30" r:id="rId30"/>
    <sheet name="CoffeeTeaChoc" sheetId="31" r:id="rId31"/>
    <sheet name="Alcohol" sheetId="32" r:id="rId32"/>
    <sheet name="Spices" sheetId="33" r:id="rId33"/>
    <sheet name="GlobalY" sheetId="34" r:id="rId34"/>
  </sheets>
  <externalReferences>
    <externalReference r:id="rId37"/>
  </externalReferences>
  <definedNames>
    <definedName name="_xlnm.Print_Area" localSheetId="0">'Ag Footprint'!$A$1:$J$60</definedName>
  </definedNames>
  <calcPr fullCalcOnLoad="1"/>
</workbook>
</file>

<file path=xl/comments10.xml><?xml version="1.0" encoding="utf-8"?>
<comments xmlns="http://schemas.openxmlformats.org/spreadsheetml/2006/main">
  <authors>
    <author>Hannah Ramer</author>
  </authors>
  <commentList>
    <comment ref="C7" authorId="0">
      <text>
        <r>
          <rPr>
            <sz val="9"/>
            <rFont val="Tahoma"/>
            <family val="2"/>
          </rPr>
          <t>2010 Guidelines report that current consumption of whole grains is at 15% of the goal (pg 46). 
On pg 51 the guidelines report that we get 0.6 oz of whole grains out of 6.4 oz. That would be 10%. (Source: NHANES 2001-2004, consumption adjusted to 2000-calorie diet.)
ERS estimates that we consume 7.5 oz-eq/d.</t>
        </r>
      </text>
    </comment>
    <comment ref="C10" authorId="0">
      <text>
        <r>
          <rPr>
            <sz val="9"/>
            <rFont val="Tahoma"/>
            <family val="2"/>
          </rPr>
          <t>2010 Guidelines report that current consumption of whole grains is at 15% of the goal (pg 46). On pg 51 they report that we get 0.6 oz of whole grains out of 6.4 oz. That would be 10%.</t>
        </r>
      </text>
    </comment>
    <comment ref="H10" authorId="0">
      <text>
        <r>
          <rPr>
            <sz val="9"/>
            <rFont val="Tahoma"/>
            <family val="2"/>
          </rPr>
          <t>Schramm, Rebecca. (2010) Dissertation, Louisiana State University. 
http://etd.lsu.edu/docs/available/etd-04092010-162834/unrestricted/schrammdiss.pdf
Milling yield 80-90%. Polished white rice means an additional reduction in weight of ~12%</t>
        </r>
      </text>
    </comment>
    <comment ref="H11" authorId="0">
      <text>
        <r>
          <rPr>
            <sz val="9"/>
            <rFont val="Tahoma"/>
            <family val="2"/>
          </rPr>
          <t>Milling yield 80-90%. Polished white rice means an additional reduction in weight of ~12%</t>
        </r>
      </text>
    </comment>
    <comment ref="F17" authorId="0">
      <text>
        <r>
          <rPr>
            <sz val="9"/>
            <rFont val="Tahoma"/>
            <family val="2"/>
          </rPr>
          <t>Personal communication with Valley Malt</t>
        </r>
      </text>
    </comment>
    <comment ref="H17" authorId="0">
      <text>
        <r>
          <rPr>
            <sz val="9"/>
            <rFont val="Tahoma"/>
            <family val="2"/>
          </rPr>
          <t>15% spoilage rate. (Personal communication with Valley Malt)</t>
        </r>
      </text>
    </comment>
    <comment ref="J17" authorId="0">
      <text>
        <r>
          <rPr>
            <sz val="9"/>
            <rFont val="Tahoma"/>
            <family val="2"/>
          </rPr>
          <t xml:space="preserve">Compare to...
Valley Malt: 1ton/ac (2000 lbs/ac)
According to Valley Malt in NY growers get: 3 ton/ac (6,000 lbs/ac)
2007 average yield in ME: 63.4 bu/ac (3,043 lbs/ac)
</t>
        </r>
      </text>
    </comment>
    <comment ref="H7" authorId="0">
      <text>
        <r>
          <rPr>
            <sz val="9"/>
            <rFont val="Tahoma"/>
            <family val="2"/>
          </rPr>
          <t>Buzby et al</t>
        </r>
      </text>
    </comment>
    <comment ref="H8" authorId="0">
      <text>
        <r>
          <rPr>
            <sz val="9"/>
            <rFont val="Tahoma"/>
            <family val="2"/>
          </rPr>
          <t>Buzby et al</t>
        </r>
      </text>
    </comment>
  </commentList>
</comments>
</file>

<file path=xl/comments13.xml><?xml version="1.0" encoding="utf-8"?>
<comments xmlns="http://schemas.openxmlformats.org/spreadsheetml/2006/main">
  <authors>
    <author>Hannah Ramer</author>
  </authors>
  <commentList>
    <comment ref="H11" authorId="0">
      <text>
        <r>
          <rPr>
            <sz val="9"/>
            <rFont val="Tahoma"/>
            <family val="2"/>
          </rPr>
          <t>eggs/yr</t>
        </r>
      </text>
    </comment>
    <comment ref="D22" authorId="0">
      <text>
        <r>
          <rPr>
            <sz val="9"/>
            <rFont val="Tahoma"/>
            <family val="2"/>
          </rPr>
          <t>2/3 oz dry beans = 1 oz protein equiv</t>
        </r>
      </text>
    </comment>
    <comment ref="D23" authorId="0">
      <text>
        <r>
          <rPr>
            <sz val="9"/>
            <rFont val="Tahoma"/>
            <family val="2"/>
          </rPr>
          <t>1/3 oz soybean = 1 oz protein equiv</t>
        </r>
      </text>
    </comment>
    <comment ref="F23" authorId="0">
      <text>
        <r>
          <rPr>
            <sz val="9"/>
            <rFont val="Tahoma"/>
            <family val="2"/>
          </rPr>
          <t>Peters loss estimate for soybeans for tofu - 30% (Peters et al 2005)</t>
        </r>
      </text>
    </comment>
    <comment ref="D24" authorId="0">
      <text>
        <r>
          <rPr>
            <sz val="9"/>
            <rFont val="Tahoma"/>
            <family val="2"/>
          </rPr>
          <t>1/2 oz nuts = 1 oz-eq</t>
        </r>
      </text>
    </comment>
    <comment ref="D25" authorId="0">
      <text>
        <r>
          <rPr>
            <sz val="9"/>
            <rFont val="Tahoma"/>
            <family val="2"/>
          </rPr>
          <t>1/2 oz nuts = 1 oz-eq</t>
        </r>
      </text>
    </comment>
    <comment ref="F25" authorId="0">
      <text>
        <r>
          <rPr>
            <sz val="9"/>
            <rFont val="Tahoma"/>
            <family val="2"/>
          </rPr>
          <t>This conversion factor is for selected tree nuts (almonds, walnuts, pecans, hazelnuts, and chestnuts)</t>
        </r>
      </text>
    </comment>
  </commentList>
</comments>
</file>

<file path=xl/comments14.xml><?xml version="1.0" encoding="utf-8"?>
<comments xmlns="http://schemas.openxmlformats.org/spreadsheetml/2006/main">
  <authors>
    <author>Hannah Ramer</author>
    <author>Brian Donahue</author>
  </authors>
  <commentList>
    <comment ref="AH27" authorId="0">
      <text>
        <r>
          <rPr>
            <sz val="9"/>
            <rFont val="Tahoma"/>
            <family val="2"/>
          </rPr>
          <t xml:space="preserve">average of brazil, cashew and pine nuts
</t>
        </r>
      </text>
    </comment>
    <comment ref="AH20" authorId="1">
      <text>
        <r>
          <rPr>
            <b/>
            <sz val="8"/>
            <rFont val="Tahoma"/>
            <family val="2"/>
          </rPr>
          <t>From USDA National Nutrient Database for Standard Reference, Release 24</t>
        </r>
        <r>
          <rPr>
            <sz val="8"/>
            <rFont val="Tahoma"/>
            <family val="2"/>
          </rPr>
          <t xml:space="preserve">
</t>
        </r>
      </text>
    </comment>
  </commentList>
</comments>
</file>

<file path=xl/comments15.xml><?xml version="1.0" encoding="utf-8"?>
<comments xmlns="http://schemas.openxmlformats.org/spreadsheetml/2006/main">
  <authors>
    <author>Hannah Ramer</author>
  </authors>
  <commentList>
    <comment ref="D13" authorId="0">
      <text>
        <r>
          <rPr>
            <sz val="9"/>
            <rFont val="Tahoma"/>
            <family val="2"/>
          </rPr>
          <t>1% milk</t>
        </r>
      </text>
    </comment>
    <comment ref="F13" authorId="0">
      <text>
        <r>
          <rPr>
            <sz val="9"/>
            <rFont val="Tahoma"/>
            <family val="2"/>
          </rPr>
          <t>ERS: 1 cup milk = 244 g
Milk is 1% BF</t>
        </r>
      </text>
    </comment>
    <comment ref="J13" authorId="0">
      <text>
        <r>
          <rPr>
            <sz val="9"/>
            <rFont val="Tahoma"/>
            <family val="2"/>
          </rPr>
          <t xml:space="preserve">Cream skimmed from whole milk will be used for ice cream, butter and buttermilk.
</t>
        </r>
      </text>
    </comment>
    <comment ref="D14" authorId="0">
      <text>
        <r>
          <rPr>
            <sz val="9"/>
            <rFont val="Tahoma"/>
            <family val="2"/>
          </rPr>
          <t>Full fat yogurt (4% BF)</t>
        </r>
      </text>
    </comment>
    <comment ref="F14" authorId="0">
      <text>
        <r>
          <rPr>
            <sz val="9"/>
            <rFont val="Tahoma"/>
            <family val="2"/>
          </rPr>
          <t>ERS: 1 cup yogurt = 227 g
Yorgurt has 4% BF</t>
        </r>
      </text>
    </comment>
    <comment ref="D15" authorId="0">
      <text>
        <r>
          <rPr>
            <sz val="9"/>
            <rFont val="Tahoma"/>
            <family val="2"/>
          </rPr>
          <t xml:space="preserve">This is 14.8% BF yogurt. 
Most ice cream is 10-16% BF (From WI Milk Marketing Board) </t>
        </r>
      </text>
    </comment>
    <comment ref="F15" authorId="0">
      <text>
        <r>
          <rPr>
            <sz val="9"/>
            <rFont val="Tahoma"/>
            <family val="2"/>
          </rPr>
          <t>ERS: 
1 cup ice cream = 216 g
Ice cream is 14.8% BF</t>
        </r>
      </text>
    </comment>
    <comment ref="I15" authorId="0">
      <text>
        <r>
          <rPr>
            <sz val="9"/>
            <rFont val="Tahoma"/>
            <family val="2"/>
          </rPr>
          <t>30% of weight is from cream (40% BF), 70% from whole milk (4% BF). 
That gives final BF of 14.8% for the ice cream.</t>
        </r>
      </text>
    </comment>
    <comment ref="A16" authorId="0">
      <text>
        <r>
          <rPr>
            <sz val="9"/>
            <rFont val="Tahoma"/>
            <family val="2"/>
          </rPr>
          <t xml:space="preserve">Butter does not count towards dairy servings
</t>
        </r>
      </text>
    </comment>
    <comment ref="F16" authorId="0">
      <text>
        <r>
          <rPr>
            <sz val="9"/>
            <rFont val="Tahoma"/>
            <family val="2"/>
          </rPr>
          <t>Butter is 80% BF</t>
        </r>
      </text>
    </comment>
    <comment ref="D18" authorId="0">
      <text>
        <r>
          <rPr>
            <sz val="9"/>
            <rFont val="Tahoma"/>
            <family val="2"/>
          </rPr>
          <t>Full fat cheese</t>
        </r>
      </text>
    </comment>
    <comment ref="F18" authorId="0">
      <text>
        <r>
          <rPr>
            <sz val="9"/>
            <rFont val="Tahoma"/>
            <family val="2"/>
          </rPr>
          <t>This was calculated by:
(1) total amount of milk used for cheese divided by population = per capita milk for cheese per year
(2) divide that by 1 - ERS loss rate for cheese = after loss milk for cheese per year
(3) multiply by 4% = per capita pounds of BF per year
(4) multiply by 453.592, divide by 365 = per capita grams of BF per day</t>
        </r>
      </text>
    </comment>
    <comment ref="I18" authorId="0">
      <text>
        <r>
          <rPr>
            <sz val="9"/>
            <rFont val="Tahoma"/>
            <family val="2"/>
          </rPr>
          <t>Amount of cheese from from milk depends on the kind of cheese. Several sources say 1:10 cheese to milk. (May range from .9 to 1.3 : 10)</t>
        </r>
      </text>
    </comment>
  </commentList>
</comments>
</file>

<file path=xl/comments16.xml><?xml version="1.0" encoding="utf-8"?>
<comments xmlns="http://schemas.openxmlformats.org/spreadsheetml/2006/main">
  <authors>
    <author>Hannah Ramer</author>
  </authors>
  <commentList>
    <comment ref="AI4" authorId="0">
      <text>
        <r>
          <rPr>
            <sz val="9"/>
            <rFont val="Tahoma"/>
            <family val="2"/>
          </rPr>
          <t xml:space="preserve">This excludeds evaporated condensed milk, dry milk products, dairy share of eggnog and half&amp;half, and cottage cheese
</t>
        </r>
      </text>
    </comment>
    <comment ref="A40" authorId="0">
      <text>
        <r>
          <rPr>
            <sz val="9"/>
            <rFont val="Tahoma"/>
            <family val="2"/>
          </rPr>
          <t>This is avg from 1997-2001 (ERS does not track more recent consumption)</t>
        </r>
      </text>
    </comment>
  </commentList>
</comments>
</file>

<file path=xl/comments17.xml><?xml version="1.0" encoding="utf-8"?>
<comments xmlns="http://schemas.openxmlformats.org/spreadsheetml/2006/main">
  <authors>
    <author>Columbia University</author>
    <author>Hannah Ramer</author>
    <author>Brian Donahue</author>
  </authors>
  <commentList>
    <comment ref="F7" authorId="0">
      <text>
        <r>
          <rPr>
            <b/>
            <sz val="9"/>
            <rFont val="Tahoma"/>
            <family val="2"/>
          </rPr>
          <t>corn:soy 4:1</t>
        </r>
      </text>
    </comment>
    <comment ref="J13" authorId="0">
      <text>
        <r>
          <rPr>
            <sz val="9"/>
            <rFont val="Tahoma"/>
            <family val="2"/>
          </rPr>
          <t>Only milking cows get grain. We have 600,00 milkers per year.</t>
        </r>
      </text>
    </comment>
    <comment ref="E16" authorId="0">
      <text>
        <r>
          <rPr>
            <sz val="9"/>
            <rFont val="Tahoma"/>
            <family val="2"/>
          </rPr>
          <t>151,765 of these are dairy steers; 259,412 are dairy x beef crosses.</t>
        </r>
      </text>
    </comment>
    <comment ref="F24" authorId="0">
      <text>
        <r>
          <rPr>
            <sz val="9"/>
            <rFont val="Tahoma"/>
            <family val="2"/>
          </rPr>
          <t>4:1 corn to soy;
Breeding stock gets 1 ton feed/yr (Peters et al 2005)</t>
        </r>
      </text>
    </comment>
    <comment ref="F26" authorId="0">
      <text>
        <r>
          <rPr>
            <b/>
            <sz val="9"/>
            <rFont val="Tahoma"/>
            <family val="2"/>
          </rPr>
          <t xml:space="preserve">4:1 corn/soy
</t>
        </r>
        <r>
          <rPr>
            <sz val="9"/>
            <rFont val="Tahoma"/>
            <family val="2"/>
          </rPr>
          <t xml:space="preserve">Peters et al 2005 lists two different conversion rates: 
Text says 3 lbs feed / pound liveweight
Table says 2.4 lbs feed / pound liveweight
I’ve also seen 2.6 lbs per pound liveweight reported
For a market weight of 250 lbs, this would require: 
750 lbs feed
600 lbs feed
650 lbs feed respectively
</t>
        </r>
      </text>
    </comment>
    <comment ref="F27" authorId="0">
      <text>
        <r>
          <rPr>
            <b/>
            <sz val="9"/>
            <rFont val="Tahoma"/>
            <family val="2"/>
          </rPr>
          <t xml:space="preserve">4:1 corn/soy </t>
        </r>
        <r>
          <rPr>
            <sz val="9"/>
            <rFont val="Tahoma"/>
            <family val="2"/>
          </rPr>
          <t>***I made this up: less than full grown sows, but more than the ones that we harvest.</t>
        </r>
      </text>
    </comment>
    <comment ref="F29" authorId="0">
      <text>
        <r>
          <rPr>
            <b/>
            <sz val="9"/>
            <rFont val="Tahoma"/>
            <family val="2"/>
          </rPr>
          <t xml:space="preserve">4:1 corn/soy
</t>
        </r>
        <r>
          <rPr>
            <sz val="9"/>
            <rFont val="Tahoma"/>
            <family val="2"/>
          </rPr>
          <t>Peters (2005) says breeders get 0.22 lbs/day (would be 80-lbs)</t>
        </r>
      </text>
    </comment>
    <comment ref="F30" authorId="0">
      <text>
        <r>
          <rPr>
            <b/>
            <sz val="9"/>
            <rFont val="Tahoma"/>
            <family val="2"/>
          </rPr>
          <t xml:space="preserve">4:1 corn/soy
</t>
        </r>
        <r>
          <rPr>
            <sz val="9"/>
            <rFont val="Tahoma"/>
            <family val="2"/>
          </rPr>
          <t>Peters (2005) says breeders get 0.22 lbs/day (would be 80-lbs)</t>
        </r>
      </text>
    </comment>
    <comment ref="F34" authorId="0">
      <text>
        <r>
          <rPr>
            <b/>
            <sz val="9"/>
            <rFont val="Tahoma"/>
            <family val="2"/>
          </rPr>
          <t>4:1 corn/soy</t>
        </r>
        <r>
          <rPr>
            <sz val="9"/>
            <rFont val="Tahoma"/>
            <family val="2"/>
          </rPr>
          <t xml:space="preserve">
Peters (2005) says breeders get 0.3 lbs/day (which would be 109-lbs)</t>
        </r>
      </text>
    </comment>
    <comment ref="F35" authorId="0">
      <text>
        <r>
          <rPr>
            <b/>
            <sz val="9"/>
            <rFont val="Tahoma"/>
            <family val="2"/>
          </rPr>
          <t>4:1 corn/soy</t>
        </r>
        <r>
          <rPr>
            <sz val="9"/>
            <rFont val="Tahoma"/>
            <family val="2"/>
          </rPr>
          <t xml:space="preserve">
Peters (2005) says breeders get 0.22 lbs/day</t>
        </r>
      </text>
    </comment>
    <comment ref="F36" authorId="0">
      <text>
        <r>
          <rPr>
            <b/>
            <sz val="9"/>
            <rFont val="Tahoma"/>
            <family val="2"/>
          </rPr>
          <t>4:1 corn/soy</t>
        </r>
        <r>
          <rPr>
            <sz val="9"/>
            <rFont val="Tahoma"/>
            <family val="2"/>
          </rPr>
          <t xml:space="preserve">
Peters says 2.1 lbs feed per lb liveweight. Dressing %=60%. So if HCW=5, liveweight=8.3, feed=16.6lbs; 
I found another source (UMN ext - Hamre) that says dressing=75%, but feed conversion is more like 3:1. Then feed would be 20lbs to acheive HCW of 5</t>
        </r>
      </text>
    </comment>
    <comment ref="F40" authorId="0">
      <text>
        <r>
          <rPr>
            <sz val="9"/>
            <rFont val="Tahoma"/>
            <family val="2"/>
          </rPr>
          <t>See Turkey Manual from ALBC (chapter 4): albc-usa.org/documents/turkeymanual/ALBCturkey-4.pdf</t>
        </r>
      </text>
    </comment>
    <comment ref="F41" authorId="0">
      <text>
        <r>
          <rPr>
            <sz val="9"/>
            <rFont val="Tahoma"/>
            <family val="2"/>
          </rPr>
          <t>See Turkey Manual from ALBC (chapter 4): albc-usa.org/documents/turkeymanual/ALBCturkey-4.pdf</t>
        </r>
      </text>
    </comment>
    <comment ref="F42" authorId="0">
      <text>
        <r>
          <rPr>
            <b/>
            <sz val="9"/>
            <rFont val="Tahoma"/>
            <family val="2"/>
          </rPr>
          <t>4:1 corn/soy</t>
        </r>
      </text>
    </comment>
    <comment ref="B6" authorId="0">
      <text>
        <r>
          <rPr>
            <sz val="9"/>
            <rFont val="Tahoma"/>
            <family val="2"/>
          </rPr>
          <t xml:space="preserve">This is total beef, from beef herd and dairy herd
</t>
        </r>
      </text>
    </comment>
    <comment ref="E47" authorId="1">
      <text>
        <r>
          <rPr>
            <sz val="9"/>
            <rFont val="Tahoma"/>
            <family val="2"/>
          </rPr>
          <t xml:space="preserve">Draft horses on half of our farms = 50,000 farms. Each farm has 2 draft horses.
</t>
        </r>
      </text>
    </comment>
    <comment ref="B12" authorId="1">
      <text>
        <r>
          <rPr>
            <sz val="9"/>
            <rFont val="Tahoma"/>
            <family val="2"/>
          </rPr>
          <t>cups/d</t>
        </r>
      </text>
    </comment>
    <comment ref="F13" authorId="0">
      <text>
        <r>
          <rPr>
            <b/>
            <sz val="9"/>
            <rFont val="Tahoma"/>
            <family val="2"/>
          </rPr>
          <t>corn:soy 4:1</t>
        </r>
      </text>
    </comment>
    <comment ref="F19" authorId="0">
      <text>
        <r>
          <rPr>
            <b/>
            <sz val="9"/>
            <rFont val="Tahoma"/>
            <family val="2"/>
          </rPr>
          <t>corn:soy 4:1</t>
        </r>
      </text>
    </comment>
    <comment ref="F31" authorId="1">
      <text>
        <r>
          <rPr>
            <sz val="9"/>
            <rFont val="Tahoma"/>
            <family val="2"/>
          </rPr>
          <t xml:space="preserve">Peters et al (2006) says layers mature at 17 weeks of age, are fed 0.13 lbs feed/day. </t>
        </r>
      </text>
    </comment>
    <comment ref="F37" authorId="1">
      <text>
        <r>
          <rPr>
            <sz val="9"/>
            <rFont val="Tahoma"/>
            <family val="2"/>
          </rPr>
          <t xml:space="preserve">Peters et al (2006) says layers mature at 17 weeks of age, are fed 0.13 lbs feed/day. 
Here we assume broilers mature 1 week later, require more feed per day (0.15 lbs/d), and when raised on pasture (x1.25).  </t>
        </r>
      </text>
    </comment>
    <comment ref="F25" authorId="0">
      <text>
        <r>
          <rPr>
            <sz val="9"/>
            <rFont val="Tahoma"/>
            <family val="2"/>
          </rPr>
          <t>4:1 corn to soy;
Breeding stock gets 1 ton feed/yr (Peters et al 2005)</t>
        </r>
      </text>
    </comment>
    <comment ref="C28" authorId="1">
      <text>
        <r>
          <rPr>
            <sz val="9"/>
            <rFont val="Tahoma"/>
            <family val="2"/>
          </rPr>
          <t># of eggs</t>
        </r>
      </text>
    </comment>
    <comment ref="F46" authorId="1">
      <text>
        <r>
          <rPr>
            <sz val="9"/>
            <rFont val="Tahoma"/>
            <family val="2"/>
          </rPr>
          <t xml:space="preserve">4 quarts a day; half corn, half oats; 1 quart = 1.2 lbs
</t>
        </r>
      </text>
    </comment>
    <comment ref="I46" authorId="1">
      <text>
        <r>
          <rPr>
            <sz val="9"/>
            <rFont val="Tahoma"/>
            <family val="2"/>
          </rPr>
          <t>Hay fed at 10 lbs/day
Yield of hay is based on average reported in Peters et al of 4009 lbs/ac</t>
        </r>
      </text>
    </comment>
    <comment ref="F47" authorId="1">
      <text>
        <r>
          <rPr>
            <sz val="9"/>
            <rFont val="Tahoma"/>
            <family val="2"/>
          </rPr>
          <t xml:space="preserve">4 quarts a day; half corn, half oats; 1 quart = 1.2 lbs
</t>
        </r>
      </text>
    </comment>
    <comment ref="E46" authorId="2">
      <text>
        <r>
          <rPr>
            <b/>
            <sz val="8"/>
            <rFont val="Tahoma"/>
            <family val="2"/>
          </rPr>
          <t>current NE -- source?</t>
        </r>
        <r>
          <rPr>
            <sz val="8"/>
            <rFont val="Tahoma"/>
            <family val="2"/>
          </rPr>
          <t xml:space="preserve">
</t>
        </r>
      </text>
    </comment>
  </commentList>
</comments>
</file>

<file path=xl/comments18.xml><?xml version="1.0" encoding="utf-8"?>
<comments xmlns="http://schemas.openxmlformats.org/spreadsheetml/2006/main">
  <authors>
    <author>Columbia University</author>
    <author>Hannah Ramer</author>
  </authors>
  <commentList>
    <comment ref="B13" authorId="0">
      <text>
        <r>
          <rPr>
            <sz val="9"/>
            <rFont val="Tahoma"/>
            <family val="2"/>
          </rPr>
          <t>*for natural service, it should be 1 bull to 20-50 females. But for AI, it's way more.  (currently ~35% of dairy herd are natural service. It's more like 80-90% in the beef herd)</t>
        </r>
      </text>
    </comment>
    <comment ref="B17" authorId="0">
      <text>
        <r>
          <rPr>
            <sz val="9"/>
            <rFont val="Tahoma"/>
            <family val="2"/>
          </rPr>
          <t xml:space="preserve"> J cows, CY = 0.39 + 0.000208 Wt (as cited in Lopez-Villalobos, 2000)</t>
        </r>
      </text>
    </comment>
    <comment ref="B50" authorId="0">
      <text>
        <r>
          <rPr>
            <sz val="9"/>
            <rFont val="Tahoma"/>
            <family val="2"/>
          </rPr>
          <t>Meili, 2004. Organic pastured beef steers reach 300 kg carcass weight in 18-24 months</t>
        </r>
      </text>
    </comment>
    <comment ref="B41" authorId="0">
      <text>
        <r>
          <rPr>
            <sz val="9"/>
            <rFont val="Tahoma"/>
            <family val="2"/>
          </rPr>
          <t>This is weaning rate (# of calves weaned per cows in the herd), so it accounts for mortality of young</t>
        </r>
      </text>
    </comment>
    <comment ref="B32" authorId="1">
      <text>
        <r>
          <rPr>
            <sz val="9"/>
            <rFont val="Tahoma"/>
            <family val="2"/>
          </rPr>
          <t xml:space="preserve">Taken from previous version of spreadsheet, based on same estimates of fert, survival, etc. 
Using a ratio of pasture to harvested head would create a circular reference, so this is listed simply as the number. </t>
        </r>
      </text>
    </comment>
    <comment ref="B38" authorId="1">
      <text>
        <r>
          <rPr>
            <sz val="9"/>
            <rFont val="Tahoma"/>
            <family val="2"/>
          </rPr>
          <t>This includes meat from cull cows and bulls</t>
        </r>
      </text>
    </comment>
  </commentList>
</comments>
</file>

<file path=xl/comments21.xml><?xml version="1.0" encoding="utf-8"?>
<comments xmlns="http://schemas.openxmlformats.org/spreadsheetml/2006/main">
  <authors>
    <author>Hannah Ramer</author>
  </authors>
  <commentList>
    <comment ref="B45" authorId="0">
      <text>
        <r>
          <rPr>
            <sz val="9"/>
            <rFont val="Tahoma"/>
            <family val="2"/>
          </rPr>
          <t>Peters et al, 2005</t>
        </r>
      </text>
    </comment>
    <comment ref="B44" authorId="0">
      <text>
        <r>
          <rPr>
            <sz val="9"/>
            <rFont val="Tahoma"/>
            <family val="2"/>
          </rPr>
          <t>We use dressing = 70%
(Iowa State Extension, dressing=70-75% www.extension.iastate.edu/4hfiles/Agriculture/LHPoultryHomeBroiler.pdf)</t>
        </r>
      </text>
    </comment>
  </commentList>
</comments>
</file>

<file path=xl/comments23.xml><?xml version="1.0" encoding="utf-8"?>
<comments xmlns="http://schemas.openxmlformats.org/spreadsheetml/2006/main">
  <authors>
    <author>Columbia University</author>
    <author>Hannah Ramer</author>
  </authors>
  <commentList>
    <comment ref="K14" authorId="0">
      <text>
        <r>
          <rPr>
            <sz val="9"/>
            <rFont val="Tahoma"/>
            <family val="2"/>
          </rPr>
          <t xml:space="preserve">US yield of shelled peanuts. Source: NASS 2004-2008 + ERS in-shell to shelled conversion factor = .75
</t>
        </r>
      </text>
    </comment>
    <comment ref="D19" authorId="0">
      <text>
        <r>
          <rPr>
            <sz val="9"/>
            <rFont val="Tahoma"/>
            <family val="2"/>
          </rPr>
          <t>From USDA National Nutrient Database for Standard Reference, Release 24</t>
        </r>
      </text>
    </comment>
    <comment ref="D24" authorId="1">
      <text>
        <r>
          <rPr>
            <sz val="9"/>
            <rFont val="Tahoma"/>
            <family val="2"/>
          </rPr>
          <t xml:space="preserve">The National Nutrient Detabase for Standard Reference lists 3.15 grams of fat per 1 cup = 143 grams = 5.044 oz
</t>
        </r>
        <r>
          <rPr>
            <b/>
            <sz val="9"/>
            <rFont val="Tahoma"/>
            <family val="2"/>
          </rPr>
          <t xml:space="preserve">
 </t>
        </r>
      </text>
    </comment>
  </commentList>
</comments>
</file>

<file path=xl/comments24.xml><?xml version="1.0" encoding="utf-8"?>
<comments xmlns="http://schemas.openxmlformats.org/spreadsheetml/2006/main">
  <authors>
    <author>Hannah Ramer</author>
  </authors>
  <commentList>
    <comment ref="I7" authorId="0">
      <text>
        <r>
          <rPr>
            <sz val="9"/>
            <rFont val="Tahoma"/>
            <family val="2"/>
          </rPr>
          <t xml:space="preserve">Source: Economic Research Service, </t>
        </r>
        <r>
          <rPr>
            <i/>
            <sz val="9"/>
            <rFont val="Tahoma"/>
            <family val="2"/>
          </rPr>
          <t xml:space="preserve">Weights and Measures, </t>
        </r>
        <r>
          <rPr>
            <sz val="9"/>
            <rFont val="Tahoma"/>
            <family val="2"/>
          </rPr>
          <t>1992.</t>
        </r>
      </text>
    </comment>
  </commentList>
</comments>
</file>

<file path=xl/comments25.xml><?xml version="1.0" encoding="utf-8"?>
<comments xmlns="http://schemas.openxmlformats.org/spreadsheetml/2006/main">
  <authors>
    <author>Columbia University</author>
    <author>Hannah Ramer</author>
  </authors>
  <commentList>
    <comment ref="I11" authorId="0">
      <text>
        <r>
          <rPr>
            <sz val="9"/>
            <rFont val="Tahoma"/>
            <family val="2"/>
          </rPr>
          <t>Oil content 38-45%. Source: ERS, USDA "Canola" 2012: http://www.ers.usda.gov/topics/crops/soybeans-oil-crops/canola.aspx</t>
        </r>
      </text>
    </comment>
    <comment ref="I9" authorId="1">
      <text>
        <r>
          <rPr>
            <sz val="9"/>
            <rFont val="Tahoma"/>
            <family val="2"/>
          </rPr>
          <t xml:space="preserve">11 lbs of oil from a 60-lbs bushel of soybeans. 
Source: Thomas J. Brumm, Soybean Research &amp; Development Council "Component Pricing in the Soybean Industry" 1994. http://soybean.uwex.edu/library/soybean/forage/Yield_and_Quality/ESTIMATING_THE_VALUE_OF_PROTEIN_AND_OIL_IN_SOYBEANS.htm </t>
        </r>
      </text>
    </comment>
    <comment ref="J9" authorId="1">
      <text>
        <r>
          <rPr>
            <sz val="9"/>
            <rFont val="Tahoma"/>
            <family val="2"/>
          </rPr>
          <t>For livestock feed</t>
        </r>
      </text>
    </comment>
    <comment ref="D12" authorId="1">
      <text>
        <r>
          <rPr>
            <sz val="9"/>
            <rFont val="Tahoma"/>
            <family val="2"/>
          </rPr>
          <t xml:space="preserve">USDA recommendation for added oils for a 2300 calorie diet is 30g. 
We start with 30g and subtract fat from butter. </t>
        </r>
      </text>
    </comment>
    <comment ref="H20" authorId="1">
      <text>
        <r>
          <rPr>
            <sz val="9"/>
            <rFont val="Tahoma"/>
            <family val="2"/>
          </rPr>
          <t>This req is for nuts, seeds, and soy</t>
        </r>
      </text>
    </comment>
    <comment ref="I24" authorId="1">
      <text>
        <r>
          <rPr>
            <sz val="9"/>
            <rFont val="Tahoma"/>
            <family val="2"/>
          </rPr>
          <t>ERS: 1 cup milk = 244 g
Milk is 1% BF</t>
        </r>
      </text>
    </comment>
    <comment ref="D26" authorId="1">
      <text>
        <r>
          <rPr>
            <sz val="9"/>
            <rFont val="Tahoma"/>
            <family val="2"/>
          </rPr>
          <t>NHANES 2009-2010: we consume 25.5g saturated fat/d (but this is likely underreported)
http://www.ars.usda.gov/SP2UserFiles/Place/12355000/pdf/0910/Table_1_NIN_GEN_09.pdf</t>
        </r>
      </text>
    </comment>
    <comment ref="H26" authorId="1">
      <text>
        <r>
          <rPr>
            <sz val="9"/>
            <rFont val="Tahoma"/>
            <family val="2"/>
          </rPr>
          <t>USDA reqs are 30 oz/wk of meat, poultry and eggs
sum of current consumption of meat, poutltry and eggs is 6.856 oz</t>
        </r>
      </text>
    </comment>
    <comment ref="I26" authorId="1">
      <text>
        <r>
          <rPr>
            <sz val="9"/>
            <rFont val="Tahoma"/>
            <family val="2"/>
          </rPr>
          <t>USDA allows lean meat only (10% fat by weight)</t>
        </r>
      </text>
    </comment>
    <comment ref="H27" authorId="1">
      <text>
        <r>
          <rPr>
            <sz val="9"/>
            <rFont val="Tahoma"/>
            <family val="2"/>
          </rPr>
          <t>USDA reqs are 30 oz/wk of meat, poultry and eggs
sum of current consumption of meat, poutltry and eggs is 6.856 oz</t>
        </r>
      </text>
    </comment>
    <comment ref="I27" authorId="1">
      <text>
        <r>
          <rPr>
            <sz val="9"/>
            <rFont val="Tahoma"/>
            <family val="2"/>
          </rPr>
          <t>USDA allows lean meat only (10% fat by weight)</t>
        </r>
      </text>
    </comment>
    <comment ref="H28" authorId="1">
      <text>
        <r>
          <rPr>
            <sz val="9"/>
            <rFont val="Tahoma"/>
            <family val="2"/>
          </rPr>
          <t>USDA reqs are 30 oz/wk of meat, poultry and eggs
sum of current consumption of meat, poutltry and eggs is 6.856 oz</t>
        </r>
      </text>
    </comment>
    <comment ref="I28" authorId="1">
      <text>
        <r>
          <rPr>
            <sz val="9"/>
            <rFont val="Tahoma"/>
            <family val="2"/>
          </rPr>
          <t>USDA allows lean meat only (10% fat by weight)</t>
        </r>
      </text>
    </comment>
    <comment ref="H29" authorId="1">
      <text>
        <r>
          <rPr>
            <sz val="9"/>
            <rFont val="Tahoma"/>
            <family val="2"/>
          </rPr>
          <t>USDA reqs are 30 oz/wk of meat, poultry and eggs
sum of current consumption of meat, poutltry and eggs is 6.856 oz</t>
        </r>
      </text>
    </comment>
    <comment ref="I29" authorId="1">
      <text>
        <r>
          <rPr>
            <sz val="9"/>
            <rFont val="Tahoma"/>
            <family val="2"/>
          </rPr>
          <t>USDA allows lean meat only (10% fat by weight)</t>
        </r>
      </text>
    </comment>
    <comment ref="H30" authorId="1">
      <text>
        <r>
          <rPr>
            <sz val="9"/>
            <rFont val="Tahoma"/>
            <family val="2"/>
          </rPr>
          <t>USDA reqs are 30 oz/wk of meat, poultry and eggs
sum of current consumption of meat, poutltry and eggs is 6.856 oz</t>
        </r>
      </text>
    </comment>
    <comment ref="I30" authorId="1">
      <text>
        <r>
          <rPr>
            <sz val="9"/>
            <rFont val="Tahoma"/>
            <family val="2"/>
          </rPr>
          <t>USDA allows lean meat only (10% fat by weight)</t>
        </r>
      </text>
    </comment>
    <comment ref="C31" authorId="1">
      <text>
        <r>
          <rPr>
            <sz val="9"/>
            <rFont val="Tahoma"/>
            <family val="2"/>
          </rPr>
          <t>Source: USDA National Nutrient Database for Standard Reference, Release 24</t>
        </r>
      </text>
    </comment>
    <comment ref="F31" authorId="1">
      <text>
        <r>
          <rPr>
            <sz val="9"/>
            <rFont val="Tahoma"/>
            <family val="2"/>
          </rPr>
          <t>Source: USDA National Nutrient Database for Standard Reference, Release 24</t>
        </r>
      </text>
    </comment>
    <comment ref="H31" authorId="1">
      <text>
        <r>
          <rPr>
            <sz val="9"/>
            <rFont val="Tahoma"/>
            <family val="2"/>
          </rPr>
          <t>USDA reqs are 30 oz/wk of meat, poultry and eggs
sum of current consumption of meat, poutltry and eggs is 6.856 oz</t>
        </r>
      </text>
    </comment>
    <comment ref="I31" authorId="1">
      <text>
        <r>
          <rPr>
            <sz val="9"/>
            <rFont val="Tahoma"/>
            <family val="2"/>
          </rPr>
          <t>Source: USDA National Nutrient Database for Standard Reference, Release 24</t>
        </r>
      </text>
    </comment>
    <comment ref="I10" authorId="1">
      <text>
        <r>
          <rPr>
            <sz val="9"/>
            <rFont val="Tahoma"/>
            <family val="2"/>
          </rPr>
          <t xml:space="preserve">UC-Copperative Extension, Sonoma County </t>
        </r>
        <r>
          <rPr>
            <i/>
            <sz val="9"/>
            <rFont val="Tahoma"/>
            <family val="2"/>
          </rPr>
          <t>Understanding Olive Oil Yield</t>
        </r>
        <r>
          <rPr>
            <sz val="9"/>
            <rFont val="Tahoma"/>
            <family val="2"/>
          </rPr>
          <t xml:space="preserve">
http://cesonoma.ucanr.edu/files/27195.pdf
AND
Olive Business </t>
        </r>
        <r>
          <rPr>
            <i/>
            <sz val="9"/>
            <rFont val="Tahoma"/>
            <family val="2"/>
          </rPr>
          <t>Olive Balance Sheet.
http://www.olivebusiness.com/index.php?option=com_content&amp;view=article&amp;id=24:olive</t>
        </r>
      </text>
    </comment>
  </commentList>
</comments>
</file>

<file path=xl/comments26.xml><?xml version="1.0" encoding="utf-8"?>
<comments xmlns="http://schemas.openxmlformats.org/spreadsheetml/2006/main">
  <authors>
    <author>Hannah Ramer</author>
  </authors>
  <commentList>
    <comment ref="A20" authorId="0">
      <text>
        <r>
          <rPr>
            <sz val="9"/>
            <rFont val="Tahoma"/>
            <family val="2"/>
          </rPr>
          <t>avg 1997-2001 (ERS stopped keeping records after 2001)</t>
        </r>
      </text>
    </comment>
    <comment ref="A22" authorId="0">
      <text>
        <r>
          <rPr>
            <sz val="9"/>
            <rFont val="Tahoma"/>
            <family val="2"/>
          </rPr>
          <t>avg 1997-2001 (ERS stopped keeping records after 2001)</t>
        </r>
      </text>
    </comment>
  </commentList>
</comments>
</file>

<file path=xl/comments28.xml><?xml version="1.0" encoding="utf-8"?>
<comments xmlns="http://schemas.openxmlformats.org/spreadsheetml/2006/main">
  <authors>
    <author>Hannah Ramer</author>
  </authors>
  <commentList>
    <comment ref="K13" authorId="0">
      <text>
        <r>
          <rPr>
            <sz val="9"/>
            <rFont val="Tahoma"/>
            <family val="2"/>
          </rPr>
          <t>Source: ERS Sugar Cane Production 2004/05-2008/09</t>
        </r>
      </text>
    </comment>
    <comment ref="K12" authorId="0">
      <text>
        <r>
          <rPr>
            <sz val="9"/>
            <rFont val="Tahoma"/>
            <family val="2"/>
          </rPr>
          <t>Source: ERS US Sugar Beet Production (five-yr avg 2004/05-2008/9)</t>
        </r>
      </text>
    </comment>
    <comment ref="K14" authorId="0">
      <text>
        <r>
          <rPr>
            <sz val="9"/>
            <rFont val="Tahoma"/>
            <family val="2"/>
          </rPr>
          <t>Sources: ERS, http://www.ers.usda.gov/data/feedgrains/Table.asp
and ISU, http://www.extension.iastate.edu/Publications/PM2061.pdf</t>
        </r>
      </text>
    </comment>
    <comment ref="E10" authorId="0">
      <text>
        <r>
          <rPr>
            <sz val="9"/>
            <rFont val="Tahoma"/>
            <family val="2"/>
          </rPr>
          <t>National Nutrient Database for Standard Reference: 
1 tsp = 4.928 ml =18 kcal
1 tsp of maple syrup = 6.57g 
http://ndb.nal.usda.gov/ndb/foods/show/6236?fg=&amp;man=&amp;lfacet=&amp;count=&amp;max=&amp;qlookup=&amp;offset=&amp;sort=&amp;format=Abridged&amp;_action_show=Apply+Changes&amp;Qv=1&amp;Q11674=4.928</t>
        </r>
      </text>
    </comment>
    <comment ref="E9" authorId="0">
      <text>
        <r>
          <rPr>
            <sz val="9"/>
            <rFont val="Tahoma"/>
            <family val="2"/>
          </rPr>
          <t>National Nutrient Database for Standard Reference: 
1 tsp = 0.333 Tbsp =21 kcal
1 tsp of honey = 6.99g 
http://ndb.nal.usda.gov/ndb/foods/show/6058?fg=&amp;man=&amp;lfacet=&amp;count=&amp;max=25&amp;qlookup=honey&amp;offset=&amp;sort=&amp;format=Abridged&amp;_action_show=Apply+Changes&amp;Qv=1&amp;Q11374=1.0&amp;Q11375=0.333&amp;Q11376=1.0</t>
        </r>
      </text>
    </comment>
    <comment ref="F12" authorId="0">
      <text>
        <r>
          <rPr>
            <sz val="9"/>
            <rFont val="Tahoma"/>
            <family val="2"/>
          </rPr>
          <t>National Nutrient Database for Standard Reference: 
1 tsp = 16 kcal
1 tsp granulated sugar = 4.2g
http://ndb.nal.usda.gov/ndb/foods/show/6090?fg=&amp;man=&amp;lfacet=&amp;format=&amp;count=&amp;max=25&amp;offset=&amp;sort=&amp;qlookup=sugar</t>
        </r>
      </text>
    </comment>
  </commentList>
</comments>
</file>

<file path=xl/comments3.xml><?xml version="1.0" encoding="utf-8"?>
<comments xmlns="http://schemas.openxmlformats.org/spreadsheetml/2006/main">
  <authors>
    <author>Hannah Ramer</author>
  </authors>
  <commentList>
    <comment ref="A101" authorId="0">
      <text>
        <r>
          <rPr>
            <sz val="9"/>
            <rFont val="Tahoma"/>
            <family val="2"/>
          </rPr>
          <t>USDA stopped collecting data on dried pears after 2005. This represents average from 2001-2005.</t>
        </r>
      </text>
    </comment>
    <comment ref="A170" authorId="0">
      <text>
        <r>
          <rPr>
            <sz val="9"/>
            <rFont val="Tahoma"/>
            <family val="2"/>
          </rPr>
          <t>avg 1997-2001 (ERS stopped keeping records after 2001)</t>
        </r>
      </text>
    </comment>
    <comment ref="A172" authorId="0">
      <text>
        <r>
          <rPr>
            <sz val="9"/>
            <rFont val="Tahoma"/>
            <family val="2"/>
          </rPr>
          <t>avg 1997-2001 (ERS stopped keeping records after 2001)</t>
        </r>
      </text>
    </comment>
    <comment ref="AF207" authorId="0">
      <text>
        <r>
          <rPr>
            <sz val="9"/>
            <rFont val="Tahoma"/>
            <family val="2"/>
          </rPr>
          <t>National Nutrient Database for Standard Reference: 
1 tsp = 4.928 ml =18 kcal
1 tsp of maple syrup = 6.57g 
http://ndb.nal.usda.gov/ndb/foods/show/6236?fg=&amp;man=&amp;lfacet=&amp;count=&amp;max=&amp;qlookup=&amp;offset=&amp;sort=&amp;format=Abridged&amp;_action_show=Apply+Changes&amp;Qv=1&amp;Q11674=4.928</t>
        </r>
      </text>
    </comment>
    <comment ref="AF205" authorId="0">
      <text>
        <r>
          <rPr>
            <sz val="9"/>
            <rFont val="Tahoma"/>
            <family val="2"/>
          </rPr>
          <t>National Nutrient Database for Standard Reference: 
1 tsp = 0.333 Tbsp =21 kcal
1 tsp of honey = 6.99g 
http://ndb.nal.usda.gov/ndb/foods/show/6058?fg=&amp;man=&amp;lfacet=&amp;count=&amp;max=25&amp;qlookup=honey&amp;offset=&amp;sort=&amp;format=Abridged&amp;_action_show=Apply+Changes&amp;Qv=1&amp;Q11374=1.0&amp;Q11375=0.333&amp;Q11376=1.0</t>
        </r>
      </text>
    </comment>
    <comment ref="AF204" authorId="0">
      <text>
        <r>
          <rPr>
            <sz val="9"/>
            <rFont val="Tahoma"/>
            <family val="2"/>
          </rPr>
          <t>National Nutrient Database for Standard Reference: 
1 tsp = 16 kcal
1 tsp granulated sugar = 4.2g
http://ndb.nal.usda.gov/ndb/foods/show/6090?fg=&amp;man=&amp;lfacet=&amp;format=&amp;count=&amp;max=25&amp;offset=&amp;sort=&amp;qlookup=sugar</t>
        </r>
      </text>
    </comment>
    <comment ref="AF181" authorId="0">
      <text>
        <r>
          <rPr>
            <sz val="9"/>
            <rFont val="Tahoma"/>
            <family val="2"/>
          </rPr>
          <t>National Nutrient Database for Standard Ref: 
Large egg= 50g
Small=38g
Med=44g
Extra Lg=56g
Jumbo=63</t>
        </r>
      </text>
    </comment>
  </commentList>
</comments>
</file>

<file path=xl/comments34.xml><?xml version="1.0" encoding="utf-8"?>
<comments xmlns="http://schemas.openxmlformats.org/spreadsheetml/2006/main">
  <authors>
    <author>Hannah Ramer</author>
  </authors>
  <commentList>
    <comment ref="C6" authorId="0">
      <text>
        <r>
          <rPr>
            <sz val="9"/>
            <rFont val="Tahoma"/>
            <family val="2"/>
          </rPr>
          <t>1 hectogram/hectare = .089217...pounds/acre</t>
        </r>
      </text>
    </comment>
    <comment ref="E6" authorId="0">
      <text>
        <r>
          <rPr>
            <sz val="9"/>
            <rFont val="Tahoma"/>
            <family val="2"/>
          </rPr>
          <t>1 hectogram/hectare = .089217...pounds/acre</t>
        </r>
      </text>
    </comment>
    <comment ref="G6" authorId="0">
      <text>
        <r>
          <rPr>
            <sz val="9"/>
            <rFont val="Tahoma"/>
            <family val="2"/>
          </rPr>
          <t>1 hectogram/hectare = .089217...pounds/acre</t>
        </r>
      </text>
    </comment>
    <comment ref="I6" authorId="0">
      <text>
        <r>
          <rPr>
            <sz val="9"/>
            <rFont val="Tahoma"/>
            <family val="2"/>
          </rPr>
          <t>1 hectogram/hectare = .089217...pounds/acre</t>
        </r>
      </text>
    </comment>
  </commentList>
</comments>
</file>

<file path=xl/comments5.xml><?xml version="1.0" encoding="utf-8"?>
<comments xmlns="http://schemas.openxmlformats.org/spreadsheetml/2006/main">
  <authors>
    <author>Columbia University</author>
  </authors>
  <commentList>
    <comment ref="A19" authorId="0">
      <text>
        <r>
          <rPr>
            <sz val="9"/>
            <rFont val="Tahoma"/>
            <family val="2"/>
          </rPr>
          <t>Not exactly clear from ERS and USDA as to whether or not to count this as 'Dark Green' or as 'Other'</t>
        </r>
      </text>
    </comment>
    <comment ref="A102" authorId="0">
      <text>
        <r>
          <rPr>
            <sz val="9"/>
            <rFont val="Tahoma"/>
            <family val="2"/>
          </rPr>
          <t xml:space="preserve">Unclear from ERS and USDA as to whether or not to count this as 'Dark Green' or 'Other'. Decided to put it under other, because an Amber Waves article described head lettuce as being largely iceberg.
</t>
        </r>
      </text>
    </comment>
  </commentList>
</comments>
</file>

<file path=xl/comments6.xml><?xml version="1.0" encoding="utf-8"?>
<comments xmlns="http://schemas.openxmlformats.org/spreadsheetml/2006/main">
  <authors>
    <author>Columbia University</author>
  </authors>
  <commentList>
    <comment ref="N2" authorId="0">
      <text>
        <r>
          <rPr>
            <b/>
            <sz val="9"/>
            <rFont val="Tahoma"/>
            <family val="2"/>
          </rPr>
          <t xml:space="preserve">This assumes that each crop where there is yield info is consumed in equal poundage within each group. This is of course, not true. </t>
        </r>
        <r>
          <rPr>
            <sz val="9"/>
            <rFont val="Tahoma"/>
            <family val="2"/>
          </rPr>
          <t xml:space="preserve">
</t>
        </r>
      </text>
    </comment>
    <comment ref="Q2" authorId="0">
      <text>
        <r>
          <rPr>
            <sz val="9"/>
            <rFont val="Tahoma"/>
            <family val="2"/>
          </rPr>
          <t xml:space="preserve">Johnny's Seeds http://www.johnnyseeds.com/assets/information/Direct_Seeded_Vegetable_Crops_Calculation_Yield_Charts.pdf
Accessed March 27, 2013
</t>
        </r>
      </text>
    </comment>
    <comment ref="K17" authorId="0">
      <text>
        <r>
          <rPr>
            <sz val="9"/>
            <rFont val="Tahoma"/>
            <family val="2"/>
          </rPr>
          <t xml:space="preserve">At the time of the study, the USDA's Orange Vegetable Subgroup did not include tomatoes, so this estimate would not have included tomato yields  </t>
        </r>
      </text>
    </comment>
    <comment ref="P20" authorId="0">
      <text>
        <r>
          <rPr>
            <sz val="9"/>
            <rFont val="Tahoma"/>
            <family val="2"/>
          </rPr>
          <t xml:space="preserve">Slicing tomatoes. (Yields for cherry and plum are lower - 17,388 and 12,420 respectively)
</t>
        </r>
      </text>
    </comment>
    <comment ref="K29" authorId="0">
      <text>
        <r>
          <rPr>
            <sz val="9"/>
            <rFont val="Tahoma"/>
            <family val="2"/>
          </rPr>
          <t xml:space="preserve">At the time, tomatoes were included in the USDA's "Other Vegetable Subgroup". They are currently included in the Red/Orange Subgroup. </t>
        </r>
      </text>
    </comment>
  </commentList>
</comments>
</file>

<file path=xl/comments7.xml><?xml version="1.0" encoding="utf-8"?>
<comments xmlns="http://schemas.openxmlformats.org/spreadsheetml/2006/main">
  <authors>
    <author>Columbia University</author>
  </authors>
  <commentList>
    <comment ref="G6" authorId="0">
      <text>
        <r>
          <rPr>
            <b/>
            <sz val="9"/>
            <rFont val="Tahoma"/>
            <family val="2"/>
          </rPr>
          <t xml:space="preserve">Source: </t>
        </r>
        <r>
          <rPr>
            <sz val="9"/>
            <rFont val="Tahoma"/>
            <family val="2"/>
          </rPr>
          <t>Conversion factor from ERS Food Availability Data Series, average consumption from 2006-2010</t>
        </r>
      </text>
    </comment>
    <comment ref="J6" authorId="0">
      <text>
        <r>
          <rPr>
            <sz val="9"/>
            <rFont val="Tahoma"/>
            <family val="2"/>
          </rPr>
          <t>Fruit yields from New England Agricultural Statistics Service, NASS, USDA. Average from 2005-2009
Except yield for grapes take from Peters et al. 2005</t>
        </r>
      </text>
    </comment>
  </commentList>
</comments>
</file>

<file path=xl/comments8.xml><?xml version="1.0" encoding="utf-8"?>
<comments xmlns="http://schemas.openxmlformats.org/spreadsheetml/2006/main">
  <authors>
    <author>Hannah Ramer</author>
  </authors>
  <commentList>
    <comment ref="A50" authorId="0">
      <text>
        <r>
          <rPr>
            <sz val="9"/>
            <rFont val="Tahoma"/>
            <family val="2"/>
          </rPr>
          <t>USDA stopped collecting data on dried pears after 2005. This represents average from 2001-2005.</t>
        </r>
      </text>
    </comment>
  </commentList>
</comments>
</file>

<file path=xl/comments9.xml><?xml version="1.0" encoding="utf-8"?>
<comments xmlns="http://schemas.openxmlformats.org/spreadsheetml/2006/main">
  <authors>
    <author>Columbia University</author>
  </authors>
  <commentList>
    <comment ref="G8" authorId="0">
      <text>
        <r>
          <rPr>
            <sz val="9"/>
            <rFont val="Tahoma"/>
            <family val="2"/>
          </rPr>
          <t>Based wholly on Maine Wild Blueberry harvests as reported in NE NASS' MaineWild Blueberries Reprot http://www.nass.usda.gov/Statistics_by_State/New_England_includes/Publications/Special_Reports/wbrel2011.pdf
Acreage is assumed to be the same as reported in the 2007 Ag Census =22,747 ac harvested. 
*Wild blueberries are managed in a burn-harvest 2 year cycle.</t>
        </r>
      </text>
    </comment>
  </commentList>
</comments>
</file>

<file path=xl/sharedStrings.xml><?xml version="1.0" encoding="utf-8"?>
<sst xmlns="http://schemas.openxmlformats.org/spreadsheetml/2006/main" count="2401" uniqueCount="1228">
  <si>
    <t>Crop</t>
  </si>
  <si>
    <t>Cropland</t>
  </si>
  <si>
    <t>Pasture</t>
  </si>
  <si>
    <t>Needed</t>
  </si>
  <si>
    <t>Beer</t>
  </si>
  <si>
    <t>Blueberry</t>
  </si>
  <si>
    <t>Cranberry</t>
  </si>
  <si>
    <t>Wine</t>
  </si>
  <si>
    <t>Veg oil</t>
  </si>
  <si>
    <t>Sugar</t>
  </si>
  <si>
    <t>Sheep, goats -- grain</t>
  </si>
  <si>
    <t>Pigs -- grain</t>
  </si>
  <si>
    <t>Hens -- grain</t>
  </si>
  <si>
    <t>Broilers -- grain</t>
  </si>
  <si>
    <t>Turkeys -- grain</t>
  </si>
  <si>
    <t>Human grain subtotal</t>
  </si>
  <si>
    <t>Feed grain subtotal</t>
  </si>
  <si>
    <t>Dairy -- grain</t>
  </si>
  <si>
    <t>Hay &amp; Pasture subtotals</t>
  </si>
  <si>
    <t>New Eng</t>
  </si>
  <si>
    <t>Totals</t>
  </si>
  <si>
    <t>Veg - green &amp; leafy</t>
  </si>
  <si>
    <t>Veg - "other"</t>
  </si>
  <si>
    <t>Veg - starchy</t>
  </si>
  <si>
    <t>tomatoes, cukes, etc</t>
  </si>
  <si>
    <t>potatoes, sweet corn</t>
  </si>
  <si>
    <t>carrots, winter squash</t>
  </si>
  <si>
    <t>lettuce, greens, broccoli</t>
  </si>
  <si>
    <t>Veg subtotal</t>
  </si>
  <si>
    <t>Fruits subtotal</t>
  </si>
  <si>
    <t>Beef cows -- grain</t>
  </si>
  <si>
    <t>Veg - orange &amp; red</t>
  </si>
  <si>
    <t>cows</t>
  </si>
  <si>
    <t>MSU example</t>
  </si>
  <si>
    <t>Annual per cow produciton</t>
  </si>
  <si>
    <t>lbs/yr</t>
  </si>
  <si>
    <t>Total prod</t>
  </si>
  <si>
    <t>butterfat</t>
  </si>
  <si>
    <t>1% milk (lbs)</t>
  </si>
  <si>
    <t>cream (lbs)</t>
  </si>
  <si>
    <t xml:space="preserve">Percent butterfat </t>
  </si>
  <si>
    <t>%</t>
  </si>
  <si>
    <t>butter</t>
  </si>
  <si>
    <t>buttermilk</t>
  </si>
  <si>
    <t>gal/yr</t>
  </si>
  <si>
    <t>Conversion factor</t>
  </si>
  <si>
    <t>lbs</t>
  </si>
  <si>
    <t>Ice cream</t>
  </si>
  <si>
    <t>Weight of cream</t>
  </si>
  <si>
    <t>Butter</t>
  </si>
  <si>
    <t>Cheese</t>
  </si>
  <si>
    <t>Yearly</t>
  </si>
  <si>
    <t>Loss</t>
  </si>
  <si>
    <t>#</t>
  </si>
  <si>
    <t>Beef</t>
  </si>
  <si>
    <t>Lamb</t>
  </si>
  <si>
    <t>Pork</t>
  </si>
  <si>
    <t>Chicken</t>
  </si>
  <si>
    <t>Turkey</t>
  </si>
  <si>
    <t>Eggs</t>
  </si>
  <si>
    <t>Subtotal</t>
  </si>
  <si>
    <t>Peanuts</t>
  </si>
  <si>
    <t>Tree Nuts</t>
  </si>
  <si>
    <t>Total</t>
  </si>
  <si>
    <t>Ac needed</t>
  </si>
  <si>
    <t>Grain</t>
  </si>
  <si>
    <t>Oz/day</t>
  </si>
  <si>
    <t>lbs grain/yr</t>
  </si>
  <si>
    <t>Whole wheat</t>
  </si>
  <si>
    <t>Corn</t>
  </si>
  <si>
    <t>Brown Rice</t>
  </si>
  <si>
    <t>Grain total</t>
  </si>
  <si>
    <t>serv/day</t>
  </si>
  <si>
    <t>serv/wk</t>
  </si>
  <si>
    <t>Starchy</t>
  </si>
  <si>
    <t>Other</t>
  </si>
  <si>
    <t>n.d.</t>
  </si>
  <si>
    <t>Broccoli</t>
  </si>
  <si>
    <t>2,000-6,200</t>
  </si>
  <si>
    <t>Cabbage</t>
  </si>
  <si>
    <t>Carrots</t>
  </si>
  <si>
    <t>Eggplant</t>
  </si>
  <si>
    <t>Potatoes</t>
  </si>
  <si>
    <t>Spinach</t>
  </si>
  <si>
    <t>Tomatoes</t>
  </si>
  <si>
    <t>Fresh</t>
  </si>
  <si>
    <t>Canned</t>
  </si>
  <si>
    <t>Frozen</t>
  </si>
  <si>
    <t>-</t>
  </si>
  <si>
    <t>Collards</t>
  </si>
  <si>
    <t>Kale</t>
  </si>
  <si>
    <t>Sweet potatoes</t>
  </si>
  <si>
    <t>Cauliflower</t>
  </si>
  <si>
    <t>Celery</t>
  </si>
  <si>
    <t>Cucumbers</t>
  </si>
  <si>
    <t>Onions</t>
  </si>
  <si>
    <t>Dried</t>
  </si>
  <si>
    <t>Total Availability</t>
  </si>
  <si>
    <t>Apples</t>
  </si>
  <si>
    <t>lbs/ac</t>
  </si>
  <si>
    <t>Blueberries</t>
  </si>
  <si>
    <t>Cranberries</t>
  </si>
  <si>
    <t>Grapes</t>
  </si>
  <si>
    <t>Juice</t>
  </si>
  <si>
    <t>Pears</t>
  </si>
  <si>
    <t>Raspberries</t>
  </si>
  <si>
    <t>Strawberries</t>
  </si>
  <si>
    <t>Watermelon</t>
  </si>
  <si>
    <t>2060 Population</t>
  </si>
  <si>
    <t>Population</t>
  </si>
  <si>
    <t>Meat &amp; Protein</t>
  </si>
  <si>
    <t>2060 servings adjusted to slightly increase total servings to 7.5 and increase whole grain servings to one-half as per USDA guidelines</t>
  </si>
  <si>
    <t>Dry Beans &amp; Peas (veg)</t>
  </si>
  <si>
    <t>Dry Beans &amp; Peas (protein)</t>
  </si>
  <si>
    <t>Beans subtotal</t>
  </si>
  <si>
    <t>Non-</t>
  </si>
  <si>
    <t>Tree nuts</t>
  </si>
  <si>
    <t>Pigs</t>
  </si>
  <si>
    <t>Broilers</t>
  </si>
  <si>
    <t>Yield</t>
  </si>
  <si>
    <t xml:space="preserve">ac </t>
  </si>
  <si>
    <t>Added Sweetners</t>
  </si>
  <si>
    <t>Total Population</t>
  </si>
  <si>
    <t>Consumption</t>
  </si>
  <si>
    <r>
      <t>Primary weight</t>
    </r>
    <r>
      <rPr>
        <vertAlign val="superscript"/>
        <sz val="8"/>
        <rFont val="Arial"/>
        <family val="2"/>
      </rPr>
      <t>2</t>
    </r>
  </si>
  <si>
    <t>Loss from primary to retail weight</t>
  </si>
  <si>
    <t>Retail weight</t>
  </si>
  <si>
    <t>Loss from retail/ institutional to consumer level</t>
  </si>
  <si>
    <t>Consumer weight</t>
  </si>
  <si>
    <t>Loss at consumer level</t>
  </si>
  <si>
    <t>Total loss, all levels</t>
  </si>
  <si>
    <t>Per capita availability adjusted for loss</t>
  </si>
  <si>
    <r>
      <t>Calories available daily</t>
    </r>
    <r>
      <rPr>
        <vertAlign val="superscript"/>
        <sz val="8"/>
        <rFont val="Arial"/>
        <family val="2"/>
      </rPr>
      <t>4</t>
    </r>
  </si>
  <si>
    <t>Nonedible share</t>
  </si>
  <si>
    <t>Other (cooking loss and uneaten food)</t>
  </si>
  <si>
    <t>Grams</t>
  </si>
  <si>
    <t>Cups</t>
  </si>
  <si>
    <t>Peaches</t>
  </si>
  <si>
    <t>Dairy</t>
  </si>
  <si>
    <t>Consumption - serv/day</t>
  </si>
  <si>
    <t>Input/Output Data of Peters et al (2005) Ag Foodprint - NY</t>
  </si>
  <si>
    <t>New England NASS</t>
  </si>
  <si>
    <t>National NASS</t>
  </si>
  <si>
    <t>Johnny's Selected Seeds (direct seeded)</t>
  </si>
  <si>
    <t>No of rows/bed on 6 ft cntr.</t>
  </si>
  <si>
    <t>No of row feet/ac</t>
  </si>
  <si>
    <t>Yield per 100 ft</t>
  </si>
  <si>
    <t>Johnny's Selected Seeds (transplants)</t>
  </si>
  <si>
    <t>rows/bed</t>
  </si>
  <si>
    <t>ft/ac</t>
  </si>
  <si>
    <t>Lettuce</t>
  </si>
  <si>
    <t>Romaine</t>
  </si>
  <si>
    <t>Chard, swiss?</t>
  </si>
  <si>
    <t>Not included</t>
  </si>
  <si>
    <t>Greens (brookfield)</t>
  </si>
  <si>
    <t>Squash, winter</t>
  </si>
  <si>
    <t>Pumpkins</t>
  </si>
  <si>
    <t>Peas, green - processed</t>
  </si>
  <si>
    <t>Corn, sweet</t>
  </si>
  <si>
    <t>*1200 dz</t>
  </si>
  <si>
    <t>*1000 dz</t>
  </si>
  <si>
    <t>Beets, fresh &amp; processed</t>
  </si>
  <si>
    <t>Bell Peppers</t>
  </si>
  <si>
    <t>Zucchini / Summer Squash</t>
  </si>
  <si>
    <t>Brussels' sprouts</t>
  </si>
  <si>
    <t>Celeriac</t>
  </si>
  <si>
    <t>Garlic</t>
  </si>
  <si>
    <t>Leek</t>
  </si>
  <si>
    <t>32550 stalks</t>
  </si>
  <si>
    <t>Parsnip</t>
  </si>
  <si>
    <t>Radicchio</t>
  </si>
  <si>
    <t>Radish</t>
  </si>
  <si>
    <t>Rutabaga</t>
  </si>
  <si>
    <t>Scallion</t>
  </si>
  <si>
    <t>Turnip</t>
  </si>
  <si>
    <t>2006-2010 avg</t>
  </si>
  <si>
    <t>Drybeans</t>
  </si>
  <si>
    <t>Dry Peas</t>
  </si>
  <si>
    <t>Lentils</t>
  </si>
  <si>
    <t>Dry peas and lentils subtotal</t>
  </si>
  <si>
    <t>Soybeans</t>
  </si>
  <si>
    <t xml:space="preserve">NOTE: </t>
  </si>
  <si>
    <t>(2) Averaging yields within each subgroup assumes that individual crops in each subgroup are consumed in equal weights. It's unclear whether or not this is how Buzby et al did their calculations.</t>
  </si>
  <si>
    <t>(3) The Buzby numbers are based on slightly different subgroupings of vegetables (eg. Buzby has tomatoes in 'Other', while now they are considered to be in 'Red/Orange')</t>
  </si>
  <si>
    <t>2/3rds of National Yields from Buzby et al (2006)</t>
  </si>
  <si>
    <t>Total primary weight needed</t>
  </si>
  <si>
    <t>x</t>
  </si>
  <si>
    <t>Dark &amp; Leafy</t>
  </si>
  <si>
    <t>Red &amp; Orange</t>
  </si>
  <si>
    <t>Beans &amp; Peas</t>
  </si>
  <si>
    <t>Total Veg</t>
  </si>
  <si>
    <t>1,000 ac</t>
  </si>
  <si>
    <t>lbs/y/cap</t>
  </si>
  <si>
    <t>Primary weight needed per cap</t>
  </si>
  <si>
    <t xml:space="preserve">conversion factor: after-loss serv/day to before-loss lbs/yr </t>
  </si>
  <si>
    <t>Agricultural Footprint</t>
  </si>
  <si>
    <t>Total Fruit</t>
  </si>
  <si>
    <t>Tropical Fruit</t>
  </si>
  <si>
    <t xml:space="preserve">Total primary weight </t>
  </si>
  <si>
    <t>Agricultural Footprint of fruit for all uses</t>
  </si>
  <si>
    <t>Source: ERS/USDA Loss Adjusted Food Availability Data Series</t>
  </si>
  <si>
    <t>Milking cows</t>
  </si>
  <si>
    <t>Herd/Flock Estimates</t>
  </si>
  <si>
    <t>Feed requirements</t>
  </si>
  <si>
    <t>Land required</t>
  </si>
  <si>
    <t>Type</t>
  </si>
  <si>
    <t>Yearly grain ration (lbs)</t>
  </si>
  <si>
    <t>Yield (lbs/ac)</t>
  </si>
  <si>
    <t>Pasture reqs</t>
  </si>
  <si>
    <t>Hay reqs</t>
  </si>
  <si>
    <t>Grain (ac)</t>
  </si>
  <si>
    <t>Pasture (ac)</t>
  </si>
  <si>
    <t>Hay (ac)</t>
  </si>
  <si>
    <t>Breeding females</t>
  </si>
  <si>
    <t>Breeding males</t>
  </si>
  <si>
    <t>1st yr Calves</t>
  </si>
  <si>
    <t>2nd yr - harvest</t>
  </si>
  <si>
    <t>2nd yr - replacements</t>
  </si>
  <si>
    <t>Milk</t>
  </si>
  <si>
    <t>Sheep</t>
  </si>
  <si>
    <t>Lambs - harvest</t>
  </si>
  <si>
    <t>Lambs - replacements</t>
  </si>
  <si>
    <t>Offspring - harvest</t>
  </si>
  <si>
    <t>Offspring - replacements</t>
  </si>
  <si>
    <t>Layers (eggs/yr)</t>
  </si>
  <si>
    <t>Blueberries*cultivated</t>
  </si>
  <si>
    <t>Maine Blueberries*wild</t>
  </si>
  <si>
    <t>Cherries, sweet and tart</t>
  </si>
  <si>
    <t>Canteloupe</t>
  </si>
  <si>
    <t>2300 calories</t>
  </si>
  <si>
    <t>Daily</t>
  </si>
  <si>
    <t>Weekly</t>
  </si>
  <si>
    <t>Food</t>
  </si>
  <si>
    <t>Amount</t>
  </si>
  <si>
    <t>cukes, onions, summer squash, green beans</t>
  </si>
  <si>
    <t>Veg - red &amp; orange</t>
  </si>
  <si>
    <t>tomatoes, carrots, winter squash</t>
  </si>
  <si>
    <t>Veg subtotal (cups)</t>
  </si>
  <si>
    <t>USDA rec 3 cups/day.  Current consumption is 1.67 cups/day</t>
  </si>
  <si>
    <t>NE whole fruit</t>
  </si>
  <si>
    <t>NE fruit juice</t>
  </si>
  <si>
    <t>apple juice/cider, cran/blue flavored juice</t>
  </si>
  <si>
    <t>Imported whole fruit</t>
  </si>
  <si>
    <t>oranges, grapefuit, bananas, avacado</t>
  </si>
  <si>
    <t>Imported fruit juice</t>
  </si>
  <si>
    <t>mostly orange juice, also grapefuit, pineapple</t>
  </si>
  <si>
    <t>Fruits subtotal (cups)</t>
  </si>
  <si>
    <t>NE Fruit wine, Hard cider</t>
  </si>
  <si>
    <t>?</t>
  </si>
  <si>
    <t>oz-eq/d</t>
  </si>
  <si>
    <t>oz-eq/wk</t>
  </si>
  <si>
    <t>Seafood</t>
  </si>
  <si>
    <t>8 oz = 1 salmon steak + one can of tuna</t>
  </si>
  <si>
    <t>lamb once a month</t>
  </si>
  <si>
    <t>same as current consumption</t>
  </si>
  <si>
    <t>Protein subtotal</t>
  </si>
  <si>
    <t>cup</t>
  </si>
  <si>
    <t>Yogurt</t>
  </si>
  <si>
    <t>Dairy subtotal</t>
  </si>
  <si>
    <t xml:space="preserve">current 1.7 cups/day.  USDA rec 3 cups/day, Harvard rec 1-2 cups. </t>
  </si>
  <si>
    <t>g fat/day</t>
  </si>
  <si>
    <t>g fat/wk</t>
  </si>
  <si>
    <t>cal/day</t>
  </si>
  <si>
    <t>Fat in cheese</t>
  </si>
  <si>
    <t>Fat in ice cream</t>
  </si>
  <si>
    <t>Assumes butterfat of 14.5% (Ice cream is usually 10-16% butterfat)</t>
  </si>
  <si>
    <t>Fat in milk</t>
  </si>
  <si>
    <t>Fat in yogurt</t>
  </si>
  <si>
    <t>Fat from animal products</t>
  </si>
  <si>
    <t>Vegetables - Yield Estimates</t>
  </si>
  <si>
    <t>Vegetables - From consumption targets to agricultural footprint</t>
  </si>
  <si>
    <t>Fruit - Yield Estimates</t>
  </si>
  <si>
    <t>Fruits:  Agricultural footprint &amp; projected consumption</t>
  </si>
  <si>
    <t>Dairy: Consumption targets and projected production</t>
  </si>
  <si>
    <t>Production (lbs/yr)</t>
  </si>
  <si>
    <t>Animals not yet harvested or breeding</t>
  </si>
  <si>
    <t>Livestock: From consumption targets to agricultural footprint</t>
  </si>
  <si>
    <t>Alcohol</t>
  </si>
  <si>
    <t xml:space="preserve">Total availability </t>
  </si>
  <si>
    <t xml:space="preserve">ac  </t>
  </si>
  <si>
    <t>Milk prod per cow</t>
  </si>
  <si>
    <t># of milkers</t>
  </si>
  <si>
    <t>Total # of cows (potential milkers)</t>
  </si>
  <si>
    <t>Actual Milkers</t>
  </si>
  <si>
    <t>Bulls</t>
  </si>
  <si>
    <t>Calves</t>
  </si>
  <si>
    <t>Dairy cows bred to dairy bulls:</t>
  </si>
  <si>
    <t>dairy heifers</t>
  </si>
  <si>
    <t>females</t>
  </si>
  <si>
    <t>males</t>
  </si>
  <si>
    <t>dairy bulls</t>
  </si>
  <si>
    <t xml:space="preserve">Dairy cows bred to beef bulls: </t>
  </si>
  <si>
    <t>HCW</t>
  </si>
  <si>
    <t>cull dairy cow</t>
  </si>
  <si>
    <t>cull dairy sires</t>
  </si>
  <si>
    <t>dairy bull stock</t>
  </si>
  <si>
    <t>dairy x beef stock</t>
  </si>
  <si>
    <t>Breeding success rate</t>
  </si>
  <si>
    <t>beef stock</t>
  </si>
  <si>
    <t>Offspring survival to adulthood</t>
  </si>
  <si>
    <t>cull beef cow</t>
  </si>
  <si>
    <t>Female Replacement rate</t>
  </si>
  <si>
    <t>cull beef bull</t>
  </si>
  <si>
    <t>Female age at first parity</t>
  </si>
  <si>
    <t>Male to female ratio</t>
  </si>
  <si>
    <t>Male age at sexual maturity</t>
  </si>
  <si>
    <t>Male replacement rate</t>
  </si>
  <si>
    <t>Harvest</t>
  </si>
  <si>
    <t>Total Milk Prod</t>
  </si>
  <si>
    <t>Hay</t>
  </si>
  <si>
    <t>Lamb HWC</t>
  </si>
  <si>
    <t>Cull ewe</t>
  </si>
  <si>
    <t>Cull ram</t>
  </si>
  <si>
    <t>Meat produced (lbs/yr)</t>
  </si>
  <si>
    <t>Ewes</t>
  </si>
  <si>
    <t>Rams</t>
  </si>
  <si>
    <t>Total Lambs</t>
  </si>
  <si>
    <t>No. of offspring per year</t>
  </si>
  <si>
    <t>Replacements</t>
  </si>
  <si>
    <t>Lambs harvested</t>
  </si>
  <si>
    <t>market hog</t>
  </si>
  <si>
    <t>cull sow</t>
  </si>
  <si>
    <t>cull boar</t>
  </si>
  <si>
    <t>Sows</t>
  </si>
  <si>
    <t>Boars</t>
  </si>
  <si>
    <t>Peters et al.</t>
  </si>
  <si>
    <t>harvested hogs</t>
  </si>
  <si>
    <t>Meat cons. (oz/d)</t>
  </si>
  <si>
    <t>Layers</t>
  </si>
  <si>
    <t>No. of settable eggs per year</t>
  </si>
  <si>
    <t>Hatch rate</t>
  </si>
  <si>
    <t>Hens</t>
  </si>
  <si>
    <t>Roosters</t>
  </si>
  <si>
    <t>Percent that are female</t>
  </si>
  <si>
    <t>% of cull hens w/ salvage val</t>
  </si>
  <si>
    <t>Female age at first lay</t>
  </si>
  <si>
    <t>17 - 20 wks</t>
  </si>
  <si>
    <t xml:space="preserve">Peters et al  </t>
  </si>
  <si>
    <t>liveweight</t>
  </si>
  <si>
    <t>lbs feed per lb liveweight</t>
  </si>
  <si>
    <t>% of cull roosters w/ salvage val</t>
  </si>
  <si>
    <t>25 wks</t>
  </si>
  <si>
    <t>Young hen</t>
  </si>
  <si>
    <t>Young tom</t>
  </si>
  <si>
    <t>Cull females</t>
  </si>
  <si>
    <t>Cull males</t>
  </si>
  <si>
    <t>Toms</t>
  </si>
  <si>
    <t>harvested poults</t>
  </si>
  <si>
    <t>Source: USDA 2010 Dietary Guidelines</t>
  </si>
  <si>
    <t>600,000 milking</t>
  </si>
  <si>
    <t>Sows &amp; boars -- grain</t>
  </si>
  <si>
    <t>Loss Adjusted</t>
  </si>
  <si>
    <t>Sugar Yield</t>
  </si>
  <si>
    <t>Acreage Required</t>
  </si>
  <si>
    <t>tsp/day</t>
  </si>
  <si>
    <t>ac</t>
  </si>
  <si>
    <t>Honey</t>
  </si>
  <si>
    <t>Eggs produced (eggs/yr)</t>
  </si>
  <si>
    <t>cups/day</t>
  </si>
  <si>
    <t>cups/wk</t>
  </si>
  <si>
    <t>dairy-beef</t>
  </si>
  <si>
    <t>Total pasture avail</t>
  </si>
  <si>
    <t>Total beef</t>
  </si>
  <si>
    <t>oz/d</t>
  </si>
  <si>
    <t>Cows</t>
  </si>
  <si>
    <t>Harvested</t>
  </si>
  <si>
    <t>Total Calves</t>
  </si>
  <si>
    <t>Soy</t>
  </si>
  <si>
    <t>Peanuts and tree nuts</t>
  </si>
  <si>
    <t>Beans (protein)</t>
  </si>
  <si>
    <t xml:space="preserve">1 oz-eq = 1/2 oz nuts, 1 Tbs peanut butter, </t>
  </si>
  <si>
    <t>1 oz-eq = 2/3 oz of dry beans</t>
  </si>
  <si>
    <t>1 oz-eq = 1/3 oz of dry soybeans</t>
  </si>
  <si>
    <t>Dry Beans and Peas (veg)</t>
  </si>
  <si>
    <t>Nuts</t>
  </si>
  <si>
    <t>Maple</t>
  </si>
  <si>
    <t>cal/d</t>
  </si>
  <si>
    <t>g fat/d</t>
  </si>
  <si>
    <t>Cane</t>
  </si>
  <si>
    <t>Corn Sweeteners</t>
  </si>
  <si>
    <t>fold increase in amount of honey consumed</t>
  </si>
  <si>
    <t>almonds</t>
  </si>
  <si>
    <t>walnuts</t>
  </si>
  <si>
    <t>Total availability</t>
  </si>
  <si>
    <t>pecans</t>
  </si>
  <si>
    <t>2060 New England Omnivore's Delight Diet</t>
  </si>
  <si>
    <t>Acres needed</t>
  </si>
  <si>
    <t>lbs/yr/cap</t>
  </si>
  <si>
    <t>Nut Total</t>
  </si>
  <si>
    <t>peanuts</t>
  </si>
  <si>
    <t>Nuts - Contribution to Dietary Oils</t>
  </si>
  <si>
    <t>g of fat/oz</t>
  </si>
  <si>
    <t>Canola</t>
  </si>
  <si>
    <t>Oil content of seed</t>
  </si>
  <si>
    <t>Seed Harvested</t>
  </si>
  <si>
    <t>Seed yield</t>
  </si>
  <si>
    <t>Acreage required</t>
  </si>
  <si>
    <t>Year</t>
  </si>
  <si>
    <r>
      <t>Wine</t>
    </r>
    <r>
      <rPr>
        <vertAlign val="superscript"/>
        <sz val="10"/>
        <rFont val="Arial"/>
        <family val="2"/>
      </rPr>
      <t>2</t>
    </r>
  </si>
  <si>
    <r>
      <t>Total</t>
    </r>
    <r>
      <rPr>
        <vertAlign val="superscript"/>
        <sz val="10"/>
        <rFont val="Arial"/>
        <family val="2"/>
      </rPr>
      <t>3</t>
    </r>
  </si>
  <si>
    <t>#serv avail/yr</t>
  </si>
  <si>
    <t>serv avail/d</t>
  </si>
  <si>
    <t>fl oz</t>
  </si>
  <si>
    <t>5 yr avg gallons</t>
  </si>
  <si>
    <t>standard serv size (oz)</t>
  </si>
  <si>
    <t>g of fat/serv</t>
  </si>
  <si>
    <t>n.a.</t>
  </si>
  <si>
    <t>total lbs/yr</t>
  </si>
  <si>
    <t>serv/d</t>
  </si>
  <si>
    <t>ME Wild Bluberries</t>
  </si>
  <si>
    <t>Bananas</t>
  </si>
  <si>
    <t>Citrus</t>
  </si>
  <si>
    <t>Tangerines and tangelos</t>
  </si>
  <si>
    <t>Avocado</t>
  </si>
  <si>
    <t>Grapefruit</t>
  </si>
  <si>
    <t>Pineapples</t>
  </si>
  <si>
    <t>Orange and temples</t>
  </si>
  <si>
    <t>Lemons and limes</t>
  </si>
  <si>
    <t>Oranges</t>
  </si>
  <si>
    <t>Raisin Grapes</t>
  </si>
  <si>
    <t>Tangerine and tangelos</t>
  </si>
  <si>
    <t>Lemon - fresh</t>
  </si>
  <si>
    <t>Lemon - juice</t>
  </si>
  <si>
    <t>Lime - fresh</t>
  </si>
  <si>
    <t>Lime - juice</t>
  </si>
  <si>
    <t>Plums (not included)</t>
  </si>
  <si>
    <t>Mango</t>
  </si>
  <si>
    <t>Olives</t>
  </si>
  <si>
    <t>Lemons</t>
  </si>
  <si>
    <t>Limes</t>
  </si>
  <si>
    <t>2000-2010</t>
  </si>
  <si>
    <t>Mangos</t>
  </si>
  <si>
    <t>Tea</t>
  </si>
  <si>
    <t>Coffee, green</t>
  </si>
  <si>
    <t>Vanilla</t>
  </si>
  <si>
    <t>Sesame seed</t>
  </si>
  <si>
    <t>Poppy seed</t>
  </si>
  <si>
    <t>Pepper (Piper spp.)</t>
  </si>
  <si>
    <t>Peppermint</t>
  </si>
  <si>
    <t>Chillies and peppers, dry</t>
  </si>
  <si>
    <t>Chillies and peppers, green</t>
  </si>
  <si>
    <t>Cloves</t>
  </si>
  <si>
    <t>Anise, badian, fennel, corian.</t>
  </si>
  <si>
    <t>Ginger</t>
  </si>
  <si>
    <t>Mustard seed</t>
  </si>
  <si>
    <t>Nutmeg, mace and cardamoms</t>
  </si>
  <si>
    <t>lbs / cap</t>
  </si>
  <si>
    <t>Acreage</t>
  </si>
  <si>
    <t>Total Production needed</t>
  </si>
  <si>
    <t>Coffee, Tea and Chocolate</t>
  </si>
  <si>
    <t xml:space="preserve">acres </t>
  </si>
  <si>
    <t>1,000s ac</t>
  </si>
  <si>
    <t>Spices</t>
  </si>
  <si>
    <t>Apricots</t>
  </si>
  <si>
    <t>Blackberries</t>
  </si>
  <si>
    <t>Cantaloup</t>
  </si>
  <si>
    <t>Cherries</t>
  </si>
  <si>
    <t>Canned sweet</t>
  </si>
  <si>
    <t>Canned tart</t>
  </si>
  <si>
    <t>Frozen sweet cherries</t>
  </si>
  <si>
    <t>Frozen tart cherries</t>
  </si>
  <si>
    <t>Other berries</t>
  </si>
  <si>
    <t>Honeydew</t>
  </si>
  <si>
    <t>Kiwi</t>
  </si>
  <si>
    <t>Papaya</t>
  </si>
  <si>
    <t>Dates</t>
  </si>
  <si>
    <t>Figs</t>
  </si>
  <si>
    <t>Total Fruit Consumption</t>
  </si>
  <si>
    <t>Calving rate</t>
  </si>
  <si>
    <t>Cow turnover rate (includes culls and deaths)</t>
  </si>
  <si>
    <t>Calf survival rate</t>
  </si>
  <si>
    <t>Bull replacement rate</t>
  </si>
  <si>
    <t>Bull:cow ratio</t>
  </si>
  <si>
    <t>Female age at first calving</t>
  </si>
  <si>
    <t>Male age at sex maturity</t>
  </si>
  <si>
    <r>
      <t>Primary weight</t>
    </r>
    <r>
      <rPr>
        <vertAlign val="superscript"/>
        <sz val="10"/>
        <rFont val="Arial"/>
        <family val="2"/>
      </rPr>
      <t>2</t>
    </r>
  </si>
  <si>
    <r>
      <t>Calories available daily</t>
    </r>
    <r>
      <rPr>
        <vertAlign val="superscript"/>
        <sz val="10"/>
        <rFont val="Arial"/>
        <family val="2"/>
      </rPr>
      <t>4</t>
    </r>
  </si>
  <si>
    <t>Lbs/year</t>
  </si>
  <si>
    <t>Percent</t>
  </si>
  <si>
    <t>G/day</t>
  </si>
  <si>
    <t>Number</t>
  </si>
  <si>
    <t>Dark Green subtotal</t>
  </si>
  <si>
    <t>Broccoli - fresh</t>
  </si>
  <si>
    <t xml:space="preserve">Broccoli  </t>
  </si>
  <si>
    <t>Collards - fresh</t>
  </si>
  <si>
    <t>Escarole - fresh</t>
  </si>
  <si>
    <t>Romaine &amp; leaf lettuce - fresh</t>
  </si>
  <si>
    <t>Kale - fresh</t>
  </si>
  <si>
    <t>Spinach - fresh</t>
  </si>
  <si>
    <t>Turnip greens - fresh</t>
  </si>
  <si>
    <t>Mustard greens</t>
  </si>
  <si>
    <t>Red and Orange subtotal</t>
  </si>
  <si>
    <t>Squash - fresh</t>
  </si>
  <si>
    <t>Carrots - fresh</t>
  </si>
  <si>
    <t>Pumpkin - fresh</t>
  </si>
  <si>
    <t>Sweet Potatoes - fresh</t>
  </si>
  <si>
    <t>Tomatoes - fresh</t>
  </si>
  <si>
    <t>Starchy subtotal</t>
  </si>
  <si>
    <t>Corn - fresh</t>
  </si>
  <si>
    <t>Green peas - canned</t>
  </si>
  <si>
    <t>Green peas</t>
  </si>
  <si>
    <t>Green lima beans - fresh</t>
  </si>
  <si>
    <t>Green lima beans</t>
  </si>
  <si>
    <t>Potatoes - fresh</t>
  </si>
  <si>
    <t>Dehydrated</t>
  </si>
  <si>
    <t>Potato chips</t>
  </si>
  <si>
    <t>Other subtotal</t>
  </si>
  <si>
    <t>Artichokes - fresh</t>
  </si>
  <si>
    <t>Asparagus - fresh</t>
  </si>
  <si>
    <t xml:space="preserve">Asparagus  </t>
  </si>
  <si>
    <t>Avocado - fresh</t>
  </si>
  <si>
    <t>Brussels sprouts - fresh</t>
  </si>
  <si>
    <t>Cabbage - fresh</t>
  </si>
  <si>
    <t xml:space="preserve">Cabbage  </t>
  </si>
  <si>
    <t>Cauliflower - fresh</t>
  </si>
  <si>
    <t xml:space="preserve">Cauliflower  </t>
  </si>
  <si>
    <t>Celery - fresh</t>
  </si>
  <si>
    <t>Cucumbers - fresh</t>
  </si>
  <si>
    <t xml:space="preserve">Cucumbers  </t>
  </si>
  <si>
    <t>Eggplant - fresh</t>
  </si>
  <si>
    <t>Green beans - fresh</t>
  </si>
  <si>
    <t xml:space="preserve">Green beans  </t>
  </si>
  <si>
    <t>Head lettuce - fresh</t>
  </si>
  <si>
    <t>Bell peppers - fresh</t>
  </si>
  <si>
    <t>Mushrooms - fresh</t>
  </si>
  <si>
    <t xml:space="preserve">Mushrooms  </t>
  </si>
  <si>
    <t>Okra - fresh</t>
  </si>
  <si>
    <t>Onions - fresh</t>
  </si>
  <si>
    <t xml:space="preserve">Onions  </t>
  </si>
  <si>
    <t>Radish - fresh</t>
  </si>
  <si>
    <t>Beans and Peas subtotal</t>
  </si>
  <si>
    <t>Black beans - dry</t>
  </si>
  <si>
    <t>Red kidney beans - dry</t>
  </si>
  <si>
    <t>Peas and lentils - dry</t>
  </si>
  <si>
    <t>Navy beans - dry</t>
  </si>
  <si>
    <t>Pinto beans -dry</t>
  </si>
  <si>
    <t>Great northern beans - dry</t>
  </si>
  <si>
    <t>Lima beans - dry</t>
  </si>
  <si>
    <t>Other beans - dry</t>
  </si>
  <si>
    <t>2060 Vision Veg consumption per capita</t>
  </si>
  <si>
    <t>Horses</t>
  </si>
  <si>
    <t>Total imported</t>
  </si>
  <si>
    <t>Total produced</t>
  </si>
  <si>
    <t>per cap lbs/yr</t>
  </si>
  <si>
    <t>Cinnamon (canella) and cassia</t>
  </si>
  <si>
    <t>Cumin</t>
  </si>
  <si>
    <t>Pop avg 2006-2010</t>
  </si>
  <si>
    <t>Pop 2060</t>
  </si>
  <si>
    <t>Fat in butter</t>
  </si>
  <si>
    <t>Recreational</t>
  </si>
  <si>
    <t>Draft</t>
  </si>
  <si>
    <t>Beet</t>
  </si>
  <si>
    <t>Other edible syrups</t>
  </si>
  <si>
    <t>*Assumes a</t>
  </si>
  <si>
    <t>*Assumes no change in amount of maple produced in NE (current production avg=1,161,400 gals; 1 gallon = 768 tsp = 11 lbs)</t>
  </si>
  <si>
    <t>Nursery stock (acres in open)</t>
  </si>
  <si>
    <t>Floriculture (acres in open)</t>
  </si>
  <si>
    <t>Current Veg consumption per capita</t>
  </si>
  <si>
    <t>Sod</t>
  </si>
  <si>
    <t>Primary weight</t>
  </si>
  <si>
    <t>Horses - hay</t>
  </si>
  <si>
    <t>Horses -- grain</t>
  </si>
  <si>
    <r>
      <t>Calories per cup-equivalent</t>
    </r>
    <r>
      <rPr>
        <vertAlign val="superscript"/>
        <sz val="8"/>
        <rFont val="Arial"/>
        <family val="2"/>
      </rPr>
      <t>3</t>
    </r>
  </si>
  <si>
    <r>
      <t>Grams per cup-equivalent</t>
    </r>
    <r>
      <rPr>
        <vertAlign val="superscript"/>
        <sz val="8"/>
        <rFont val="Arial"/>
        <family val="2"/>
      </rPr>
      <t>3</t>
    </r>
  </si>
  <si>
    <r>
      <t>Food Pattern Equivalents available daily</t>
    </r>
    <r>
      <rPr>
        <vertAlign val="superscript"/>
        <sz val="8"/>
        <rFont val="Arial"/>
        <family val="2"/>
      </rPr>
      <t>5</t>
    </r>
  </si>
  <si>
    <t>Chile pepper - canned</t>
  </si>
  <si>
    <t>Fruits: Current consumption of selected fruits, 5 yr avg (2006-2010)</t>
  </si>
  <si>
    <t>Gals/year</t>
  </si>
  <si>
    <t>Whole Fruit</t>
  </si>
  <si>
    <t>Grain: current human consumption (avg 2006-2010)</t>
  </si>
  <si>
    <r>
      <t>Calories per ounce-equivalent (oz-eq)</t>
    </r>
    <r>
      <rPr>
        <vertAlign val="superscript"/>
        <sz val="8"/>
        <rFont val="Arial"/>
        <family val="2"/>
      </rPr>
      <t>3</t>
    </r>
  </si>
  <si>
    <r>
      <t>Grams per ounce-equivalent (oz-eq)</t>
    </r>
    <r>
      <rPr>
        <vertAlign val="superscript"/>
        <sz val="8"/>
        <rFont val="Arial"/>
        <family val="2"/>
      </rPr>
      <t>3</t>
    </r>
  </si>
  <si>
    <t>Oz-eq</t>
  </si>
  <si>
    <t>Wheat flour</t>
  </si>
  <si>
    <t>Corn flour, meal, etc</t>
  </si>
  <si>
    <t>Rice</t>
  </si>
  <si>
    <t>Brown rice</t>
  </si>
  <si>
    <t>Oats</t>
  </si>
  <si>
    <t>Barley</t>
  </si>
  <si>
    <t>Rye</t>
  </si>
  <si>
    <t>Refined wheat flour</t>
  </si>
  <si>
    <t>Whole wheat flour</t>
  </si>
  <si>
    <t>Corn (flour, meal, starch)</t>
  </si>
  <si>
    <t>Ac</t>
  </si>
  <si>
    <t>Dairy Consumption: average 2006-2010</t>
  </si>
  <si>
    <r>
      <t>Calories per cup-equivalent</t>
    </r>
    <r>
      <rPr>
        <vertAlign val="superscript"/>
        <sz val="10"/>
        <rFont val="Arial"/>
        <family val="2"/>
      </rPr>
      <t>3</t>
    </r>
  </si>
  <si>
    <r>
      <t>Grams per cup-equivalent</t>
    </r>
    <r>
      <rPr>
        <vertAlign val="superscript"/>
        <sz val="10"/>
        <rFont val="Arial"/>
        <family val="2"/>
      </rPr>
      <t>3</t>
    </r>
  </si>
  <si>
    <r>
      <t>Food Pattern Equivalents available daily</t>
    </r>
    <r>
      <rPr>
        <vertAlign val="superscript"/>
        <sz val="10"/>
        <rFont val="Arial"/>
        <family val="2"/>
      </rPr>
      <t>5</t>
    </r>
  </si>
  <si>
    <t>Portion of dairy servings</t>
  </si>
  <si>
    <t>Portion of selected dairy servings</t>
  </si>
  <si>
    <t>Fluid milk, buttermilk, and yogurt</t>
  </si>
  <si>
    <t>Plain milk</t>
  </si>
  <si>
    <t>Whole</t>
  </si>
  <si>
    <t>Skim</t>
  </si>
  <si>
    <t>Flavored milk</t>
  </si>
  <si>
    <t>Lowfat</t>
  </si>
  <si>
    <t>Buttermilk</t>
  </si>
  <si>
    <t>Total Cheese</t>
  </si>
  <si>
    <t>Frozen dairy products</t>
  </si>
  <si>
    <t>Regular ice cream</t>
  </si>
  <si>
    <t>Lowfat ice cream (ice milk)</t>
  </si>
  <si>
    <t>Frozen yogurt</t>
  </si>
  <si>
    <t>Evaporated and condensed</t>
  </si>
  <si>
    <t>whole canned</t>
  </si>
  <si>
    <t>whole bulk</t>
  </si>
  <si>
    <t>skim</t>
  </si>
  <si>
    <t>Dry milk</t>
  </si>
  <si>
    <t>Dry whole milk</t>
  </si>
  <si>
    <t>Nonfat dry</t>
  </si>
  <si>
    <t>Dry buttermilk</t>
  </si>
  <si>
    <t>Dairy share of half and half, and eggnog</t>
  </si>
  <si>
    <t>half and half</t>
  </si>
  <si>
    <t>eggnog</t>
  </si>
  <si>
    <t>Cottage cheese</t>
  </si>
  <si>
    <t>Total Dairy</t>
  </si>
  <si>
    <t>Protein Consumption (average 2006-2010)</t>
  </si>
  <si>
    <t>Ounces</t>
  </si>
  <si>
    <t>Veal</t>
  </si>
  <si>
    <t>Fish and Shellfish</t>
  </si>
  <si>
    <t>Total tree nuts</t>
  </si>
  <si>
    <t>Almonds</t>
  </si>
  <si>
    <t>Hazelnuts</t>
  </si>
  <si>
    <t>Pecans</t>
  </si>
  <si>
    <t>Walnuts</t>
  </si>
  <si>
    <t>Macadamia nuts</t>
  </si>
  <si>
    <t>Pistachio nuts</t>
  </si>
  <si>
    <t>Other nuts</t>
  </si>
  <si>
    <t>Consumption of Fats (average 2006-2010)</t>
  </si>
  <si>
    <t>Calories per fat gram</t>
  </si>
  <si>
    <t>Daily fat grams</t>
  </si>
  <si>
    <r>
      <t>Calories available daily</t>
    </r>
    <r>
      <rPr>
        <vertAlign val="superscript"/>
        <sz val="10"/>
        <rFont val="Arial"/>
        <family val="2"/>
      </rPr>
      <t>3</t>
    </r>
  </si>
  <si>
    <t>Margarine</t>
  </si>
  <si>
    <t>Lard</t>
  </si>
  <si>
    <t>Edible beef tallow</t>
  </si>
  <si>
    <t>Shortening</t>
  </si>
  <si>
    <t>Salad and cooking oils</t>
  </si>
  <si>
    <t>Other edible fats and oils</t>
  </si>
  <si>
    <t>Added fats</t>
  </si>
  <si>
    <t>Light cream</t>
  </si>
  <si>
    <t>Heavy cream</t>
  </si>
  <si>
    <t>Sour cream</t>
  </si>
  <si>
    <t>Cream cheese</t>
  </si>
  <si>
    <t>Eggnog</t>
  </si>
  <si>
    <t>Dairy fats</t>
  </si>
  <si>
    <t>Total fats</t>
  </si>
  <si>
    <t>Sugar consumption (average 2006-2010)</t>
  </si>
  <si>
    <r>
      <t>Calories per teaspoon</t>
    </r>
    <r>
      <rPr>
        <vertAlign val="superscript"/>
        <sz val="10"/>
        <rFont val="Arial"/>
        <family val="2"/>
      </rPr>
      <t>3</t>
    </r>
  </si>
  <si>
    <r>
      <t>Grams per teaspoon</t>
    </r>
    <r>
      <rPr>
        <vertAlign val="superscript"/>
        <sz val="10"/>
        <rFont val="Arial"/>
        <family val="2"/>
      </rPr>
      <t>3</t>
    </r>
  </si>
  <si>
    <r>
      <t>Teaspoons available daily</t>
    </r>
    <r>
      <rPr>
        <vertAlign val="superscript"/>
        <sz val="10"/>
        <rFont val="Arial"/>
        <family val="2"/>
      </rPr>
      <t>5</t>
    </r>
  </si>
  <si>
    <t>Teaspoons</t>
  </si>
  <si>
    <t>Beet &amp; Cane</t>
  </si>
  <si>
    <t>Edible syrups</t>
  </si>
  <si>
    <t>Total Honey and syrup</t>
  </si>
  <si>
    <t>High fructose corn sweetener</t>
  </si>
  <si>
    <t>Glucose</t>
  </si>
  <si>
    <t>Dextrose</t>
  </si>
  <si>
    <t>Corn sweeteners</t>
  </si>
  <si>
    <t>Caloric sweeteners</t>
  </si>
  <si>
    <t>Primary weight, per capita (avg 2006-2010)</t>
  </si>
  <si>
    <t>Cocoa</t>
  </si>
  <si>
    <t>UDSA MyPlate</t>
  </si>
  <si>
    <t>Current (avg 2006-2010)</t>
  </si>
  <si>
    <t>43.25 - 43.75</t>
  </si>
  <si>
    <t>6.18 - 6.25</t>
  </si>
  <si>
    <t>Change in consumption 2010 v. 2060</t>
  </si>
  <si>
    <t>see veg</t>
  </si>
  <si>
    <t>Land needed</t>
  </si>
  <si>
    <t>"free" 785,000 hives</t>
  </si>
  <si>
    <t>"free" woodlands</t>
  </si>
  <si>
    <t>Distilled spirits</t>
  </si>
  <si>
    <t>USDA Diet</t>
  </si>
  <si>
    <t>Calories per day</t>
  </si>
  <si>
    <t>food pattern equivalents</t>
  </si>
  <si>
    <t>Vegetables</t>
  </si>
  <si>
    <t>Tomatoes - canned</t>
  </si>
  <si>
    <t>Carrots - frozen</t>
  </si>
  <si>
    <t>Carrots - canned</t>
  </si>
  <si>
    <t>Broccoli - frozen</t>
  </si>
  <si>
    <t>Corn - canned</t>
  </si>
  <si>
    <t>Corn - frozen</t>
  </si>
  <si>
    <t>Green peas - frozen</t>
  </si>
  <si>
    <t>Potatoes - canned</t>
  </si>
  <si>
    <t>Potatoes - frozen</t>
  </si>
  <si>
    <t>Potatoes - dehydrated</t>
  </si>
  <si>
    <t>Asparagus - Canned</t>
  </si>
  <si>
    <t>Asparagus - Frozen</t>
  </si>
  <si>
    <t>Cabbage - canned</t>
  </si>
  <si>
    <t>Cauliflower - frozen</t>
  </si>
  <si>
    <t>Cucumbers - Canned</t>
  </si>
  <si>
    <t>Green beans - canned</t>
  </si>
  <si>
    <t>Green beans - frozen</t>
  </si>
  <si>
    <t>Mushrooms - canned</t>
  </si>
  <si>
    <t>Onions - Dehydrated</t>
  </si>
  <si>
    <t>Green lima beans - frozen</t>
  </si>
  <si>
    <t>Current Consumption</t>
  </si>
  <si>
    <t>Ominvore's Delight</t>
  </si>
  <si>
    <t>Calories available daily</t>
  </si>
  <si>
    <t>Spinach - frozen</t>
  </si>
  <si>
    <t>Fruit</t>
  </si>
  <si>
    <t>Apples- Fresh</t>
  </si>
  <si>
    <t>Apples- Canned</t>
  </si>
  <si>
    <t>Apples - Frozen</t>
  </si>
  <si>
    <t>Apples - Dried</t>
  </si>
  <si>
    <t>Apples - Juice</t>
  </si>
  <si>
    <t>Blueberries - Fresh</t>
  </si>
  <si>
    <t>Blueberries - Frozen</t>
  </si>
  <si>
    <t>Cranberries - Fresh</t>
  </si>
  <si>
    <t>Cranberries - Juice</t>
  </si>
  <si>
    <t xml:space="preserve">Grapes - Fresh </t>
  </si>
  <si>
    <t>Grapes - Juice</t>
  </si>
  <si>
    <t>Peaches - Fresh</t>
  </si>
  <si>
    <t>Peaches - Canned</t>
  </si>
  <si>
    <t>Peaches - Frozen</t>
  </si>
  <si>
    <t>Peaches - Dried</t>
  </si>
  <si>
    <t>Pears - Fresh</t>
  </si>
  <si>
    <t>Pears - Canned</t>
  </si>
  <si>
    <t>Pears - Dried</t>
  </si>
  <si>
    <t>Strawberries - Frozen</t>
  </si>
  <si>
    <t>Strawberries - Fresh</t>
  </si>
  <si>
    <t>Plums - Fresh</t>
  </si>
  <si>
    <t>Plums - Canned</t>
  </si>
  <si>
    <t>Plums - Frozen</t>
  </si>
  <si>
    <t>Plums - Dried</t>
  </si>
  <si>
    <t>Plums - Juice</t>
  </si>
  <si>
    <t>Apricots - Fresh</t>
  </si>
  <si>
    <t>Apricots - Dried</t>
  </si>
  <si>
    <t>Apricots - Canned</t>
  </si>
  <si>
    <t>Apricots - Frozen</t>
  </si>
  <si>
    <t>Cherries - Fresh</t>
  </si>
  <si>
    <t>Cherries - Canned sweet</t>
  </si>
  <si>
    <t>Cherries - Canned tart</t>
  </si>
  <si>
    <t>Cherries - Frozen sweet cherries</t>
  </si>
  <si>
    <t>Cherries - Frozen tart cherries</t>
  </si>
  <si>
    <t>Raspberries - Frozen</t>
  </si>
  <si>
    <t>Raspberries - Fresh</t>
  </si>
  <si>
    <t>Oranges - Fresh</t>
  </si>
  <si>
    <t>Oranges - Juice</t>
  </si>
  <si>
    <t>Bananas - Fresh</t>
  </si>
  <si>
    <t>Pineapples - Fresh</t>
  </si>
  <si>
    <t>Pineapples - Canned</t>
  </si>
  <si>
    <t>Pineapples - Juice</t>
  </si>
  <si>
    <t>Raisin Grapes - Dried</t>
  </si>
  <si>
    <t>Grapefruit - Fresh</t>
  </si>
  <si>
    <t>Grapefruit - Juice</t>
  </si>
  <si>
    <t>Tangerine and tangelos - Fresh</t>
  </si>
  <si>
    <t>Mango - Fresh</t>
  </si>
  <si>
    <t>Olives - Canned</t>
  </si>
  <si>
    <t>Kiwi - fresh</t>
  </si>
  <si>
    <t>Papaya - Fresh</t>
  </si>
  <si>
    <t>Dates - Dried</t>
  </si>
  <si>
    <t>Figs - Dried</t>
  </si>
  <si>
    <t>Grains</t>
  </si>
  <si>
    <t>White flour</t>
  </si>
  <si>
    <t>White rice</t>
  </si>
  <si>
    <t>oz-eq/day</t>
  </si>
  <si>
    <t>Protein</t>
  </si>
  <si>
    <t>Whole milk</t>
  </si>
  <si>
    <t>2% milk</t>
  </si>
  <si>
    <t>1% milk</t>
  </si>
  <si>
    <t>Skim milk</t>
  </si>
  <si>
    <t>Factor of change</t>
  </si>
  <si>
    <t>Beef tallow</t>
  </si>
  <si>
    <t>Spirits</t>
  </si>
  <si>
    <t>Beet/cane</t>
  </si>
  <si>
    <t>Beans</t>
  </si>
  <si>
    <t>Half and half</t>
  </si>
  <si>
    <t>Evaporated milk</t>
  </si>
  <si>
    <t>g per serving-eq</t>
  </si>
  <si>
    <t>Total calories</t>
  </si>
  <si>
    <t>Veg - Dark Green</t>
  </si>
  <si>
    <t>Veg - Red/Orange</t>
  </si>
  <si>
    <t>Veg - Starchy</t>
  </si>
  <si>
    <t>Veg - Other</t>
  </si>
  <si>
    <t>Veg - Beans</t>
  </si>
  <si>
    <r>
      <t>Alcohol **</t>
    </r>
    <r>
      <rPr>
        <sz val="10"/>
        <rFont val="Arial"/>
        <family val="2"/>
      </rPr>
      <t xml:space="preserve">ERS doesn't publish loss yields for alcohol. We could assume 15% loss? </t>
    </r>
  </si>
  <si>
    <t>Fats</t>
  </si>
  <si>
    <t>see dairy</t>
  </si>
  <si>
    <t>lbs feed/animal</t>
  </si>
  <si>
    <t>University of Minnesota: 21 lbs liveweight for 65 lbs feed, dressing=80%; that a feed conversion of 3.1</t>
  </si>
  <si>
    <t>Lbs</t>
  </si>
  <si>
    <t>Yield/ac</t>
  </si>
  <si>
    <t xml:space="preserve">Peters et al. </t>
  </si>
  <si>
    <t>Peters et al</t>
  </si>
  <si>
    <t>Pounds of Feed per Bird Consumed during two week period (page 29 of http://albc-usa.org/documents/turkeymanual/ALBCturkey-4.pdf)</t>
  </si>
  <si>
    <t>age in weeks</t>
  </si>
  <si>
    <t>lbs of feed - 2 weeks</t>
  </si>
  <si>
    <t>lbs feed/d</t>
  </si>
  <si>
    <t>1-2</t>
  </si>
  <si>
    <t>3-4</t>
  </si>
  <si>
    <t>5-6</t>
  </si>
  <si>
    <t>7-8</t>
  </si>
  <si>
    <t>9-10</t>
  </si>
  <si>
    <t>11-12</t>
  </si>
  <si>
    <t>13-14</t>
  </si>
  <si>
    <t>15-16</t>
  </si>
  <si>
    <t>17-18</t>
  </si>
  <si>
    <t>19-20</t>
  </si>
  <si>
    <t>21-22</t>
  </si>
  <si>
    <t>24-24</t>
  </si>
  <si>
    <t>26-26</t>
  </si>
  <si>
    <t>28-28</t>
  </si>
  <si>
    <t>hazelnuts</t>
  </si>
  <si>
    <t>chestnuts</t>
  </si>
  <si>
    <t>Portion of consumption</t>
  </si>
  <si>
    <t>Added solid fats</t>
  </si>
  <si>
    <t>Added oils</t>
  </si>
  <si>
    <t>1000 ac</t>
  </si>
  <si>
    <t>n.a., from feed soybeans</t>
  </si>
  <si>
    <t>2060 New England Omnivore's Delight</t>
  </si>
  <si>
    <t>Liveweight</t>
  </si>
  <si>
    <t>Feed conversion</t>
  </si>
  <si>
    <t>Pounds of feed</t>
  </si>
  <si>
    <t>Turkeys</t>
  </si>
  <si>
    <t>Cons - relative proportion w/in food group</t>
  </si>
  <si>
    <t>Input/Output Data of Peters et al, Ag Foodprint - NY, 1999-2003 avg</t>
  </si>
  <si>
    <t>New England NASS 2005-2009 avg</t>
  </si>
  <si>
    <t>Farm A (eastern MA)</t>
  </si>
  <si>
    <t>Farm B (western MA)</t>
  </si>
  <si>
    <t>Vern Grubinger Univ of VT - Extension (medium)</t>
  </si>
  <si>
    <t>Green</t>
  </si>
  <si>
    <t>Endive/escarole</t>
  </si>
  <si>
    <t>Head</t>
  </si>
  <si>
    <t>Leaf</t>
  </si>
  <si>
    <t>Red/Organge</t>
  </si>
  <si>
    <t>Lettuce, head</t>
  </si>
  <si>
    <t>Beans, snap /green</t>
  </si>
  <si>
    <t>Okra</t>
  </si>
  <si>
    <t xml:space="preserve">(1) Crop level data was not available for every crop from all sources, so the subgroup level averages for each source are based on slightly different crops </t>
  </si>
  <si>
    <t>serv/d to primary lbs/y</t>
  </si>
  <si>
    <t>Notes:</t>
  </si>
  <si>
    <t>% of selected tmp fruits</t>
  </si>
  <si>
    <t>after loss serv/day to primary lbs/yr</t>
  </si>
  <si>
    <t>2060 Omnivore's Delight: fruit consumption per capita</t>
  </si>
  <si>
    <t>Current fruit consumption per capita</t>
  </si>
  <si>
    <t>Farm B (western Mass)</t>
  </si>
  <si>
    <t>Estimate used for planning</t>
  </si>
  <si>
    <t>5-yr average</t>
  </si>
  <si>
    <t>serv/day to primary lbs/yr</t>
  </si>
  <si>
    <t>Primary weight per capita</t>
  </si>
  <si>
    <t>Change in consumption</t>
  </si>
  <si>
    <t>Share of consumption</t>
  </si>
  <si>
    <t>lbs of flour or meal/yr</t>
  </si>
  <si>
    <r>
      <t xml:space="preserve">factor of </t>
    </r>
    <r>
      <rPr>
        <sz val="9"/>
        <rFont val="Calibri"/>
        <family val="2"/>
      </rPr>
      <t>Δ</t>
    </r>
  </si>
  <si>
    <t>2060: beer consumption per capita</t>
  </si>
  <si>
    <t>malt/cap</t>
  </si>
  <si>
    <t>barley/cap</t>
  </si>
  <si>
    <t xml:space="preserve">Notes: </t>
  </si>
  <si>
    <t>2060 New England Ominvore's Delight</t>
  </si>
  <si>
    <t xml:space="preserve">Total milk prod </t>
  </si>
  <si>
    <t>Current Dairy Product  consumption per capita</t>
  </si>
  <si>
    <t>2060  Dairy Product  consumption per capita</t>
  </si>
  <si>
    <t xml:space="preserve">Conversion Factor (after-loss serv/day to primary lbs/yr) </t>
  </si>
  <si>
    <t>Primary weight per cap</t>
  </si>
  <si>
    <t>Total primary weight of the product</t>
  </si>
  <si>
    <t>Weight of whole milk</t>
  </si>
  <si>
    <t>Beverage milk (cups)</t>
  </si>
  <si>
    <t>Yogurt (cups)</t>
  </si>
  <si>
    <t>Ice cream (cups)</t>
  </si>
  <si>
    <t>Butter (oz)</t>
  </si>
  <si>
    <t>Buttermilk (cups)</t>
  </si>
  <si>
    <t xml:space="preserve">**Cheese production will result in </t>
  </si>
  <si>
    <t xml:space="preserve">lbs of whey, which could be used for food products, or livestock feed. </t>
  </si>
  <si>
    <t>Total Dairy (butter not included)</t>
  </si>
  <si>
    <t>weight of bf in cream</t>
  </si>
  <si>
    <t>weight of water &amp; milk solids in cream</t>
  </si>
  <si>
    <t>weight of cream / weight of butterfat</t>
  </si>
  <si>
    <t>Milk weight conversion: C/W = (%B-%M)*X</t>
  </si>
  <si>
    <t>Convervsion Factor</t>
  </si>
  <si>
    <t>oz/d to primary lbs/y</t>
  </si>
  <si>
    <t xml:space="preserve">C is the weight of 40% cream skimmed off, W is weight of whole milk, %B is percent butterfat, %M is the % bf the beverage milk is left with, and X is a conversion factor derived from numbers from MSU example (weight of cream divided by weight of butterfat) </t>
  </si>
  <si>
    <t>Current Consumption per capita</t>
  </si>
  <si>
    <t>2060 Consumption per capita</t>
  </si>
  <si>
    <t>Primary weight (HCW)</t>
  </si>
  <si>
    <t>oz-eq/w</t>
  </si>
  <si>
    <t>total lbs/y</t>
  </si>
  <si>
    <r>
      <t xml:space="preserve">factor of </t>
    </r>
    <r>
      <rPr>
        <sz val="8"/>
        <rFont val="Calibri"/>
        <family val="2"/>
      </rPr>
      <t>Δ</t>
    </r>
  </si>
  <si>
    <t>loss is 42%</t>
  </si>
  <si>
    <t>Chicken**</t>
  </si>
  <si>
    <t>Turkey**</t>
  </si>
  <si>
    <t xml:space="preserve">Conversion factor </t>
  </si>
  <si>
    <t>Dry beans</t>
  </si>
  <si>
    <t>loss is 15%</t>
  </si>
  <si>
    <t>loss is 30%</t>
  </si>
  <si>
    <t>Bean &amp; nut Subtotal</t>
  </si>
  <si>
    <r>
      <t>Loss from primary to retail weight</t>
    </r>
    <r>
      <rPr>
        <vertAlign val="superscript"/>
        <sz val="9"/>
        <rFont val="Arial"/>
        <family val="2"/>
      </rPr>
      <t>3</t>
    </r>
  </si>
  <si>
    <r>
      <t>Retail weight</t>
    </r>
    <r>
      <rPr>
        <vertAlign val="superscript"/>
        <sz val="9"/>
        <rFont val="Arial"/>
        <family val="2"/>
      </rPr>
      <t>3</t>
    </r>
  </si>
  <si>
    <r>
      <t>Calories per ounce equivalent (oz-eq)</t>
    </r>
    <r>
      <rPr>
        <vertAlign val="superscript"/>
        <sz val="9"/>
        <rFont val="Arial"/>
        <family val="2"/>
      </rPr>
      <t>4</t>
    </r>
  </si>
  <si>
    <r>
      <t>Ounce-equivalent</t>
    </r>
    <r>
      <rPr>
        <vertAlign val="superscript"/>
        <sz val="9"/>
        <rFont val="Arial"/>
        <family val="2"/>
      </rPr>
      <t>4</t>
    </r>
  </si>
  <si>
    <t>Food Pattern Equivalents</t>
  </si>
  <si>
    <t xml:space="preserve">Animal Protein </t>
  </si>
  <si>
    <t>g of fat/d</t>
  </si>
  <si>
    <t>Total Nuts</t>
  </si>
  <si>
    <t>Current Consumption (avg 2005-2009)</t>
  </si>
  <si>
    <t>real oz/d</t>
  </si>
  <si>
    <r>
      <t xml:space="preserve">factor of </t>
    </r>
    <r>
      <rPr>
        <sz val="10"/>
        <rFont val="Calibri"/>
        <family val="2"/>
      </rPr>
      <t>Δ</t>
    </r>
  </si>
  <si>
    <t>other nuts</t>
  </si>
  <si>
    <t>g of oils/d</t>
  </si>
  <si>
    <t>HCW (lbs)</t>
  </si>
  <si>
    <t>Repalcements</t>
  </si>
  <si>
    <t>dairy-beef crosses</t>
  </si>
  <si>
    <t>cull dairy cows</t>
  </si>
  <si>
    <t>cull dairy bulls</t>
  </si>
  <si>
    <t>dairy steers</t>
  </si>
  <si>
    <t>lbs of meat</t>
  </si>
  <si>
    <t># of animals harvested</t>
  </si>
  <si>
    <t>lbs of fat</t>
  </si>
  <si>
    <t>g of fat/capita/day</t>
  </si>
  <si>
    <t>cull rams</t>
  </si>
  <si>
    <t>lambs</t>
  </si>
  <si>
    <t>Pasture for dairy + sheep</t>
  </si>
  <si>
    <t>Available pasture for beef</t>
  </si>
  <si>
    <t xml:space="preserve">Pasture  </t>
  </si>
  <si>
    <t>Ac per harvested head</t>
  </si>
  <si>
    <t>Harvested heads of cattle</t>
  </si>
  <si>
    <t>Ratio of meat from culls to steers</t>
  </si>
  <si>
    <t>Total meat yield of herd (lbs)</t>
  </si>
  <si>
    <t>cull beef cows</t>
  </si>
  <si>
    <t>cull beef bulls</t>
  </si>
  <si>
    <t>harvested</t>
  </si>
  <si>
    <t>lbs fat in meat/animal</t>
  </si>
  <si>
    <t>2060 Consumption, per capita</t>
  </si>
  <si>
    <t>Offspring</t>
  </si>
  <si>
    <t>Market hogs</t>
  </si>
  <si>
    <t>cull sows</t>
  </si>
  <si>
    <t>cull boars</t>
  </si>
  <si>
    <t>Cattle - Dairy and Beef</t>
  </si>
  <si>
    <t>Chickens - Layers and Broilers</t>
  </si>
  <si>
    <t xml:space="preserve">Note: </t>
  </si>
  <si>
    <t>Culled hens</t>
  </si>
  <si>
    <t>Culled roosters</t>
  </si>
  <si>
    <t>Female</t>
  </si>
  <si>
    <t>Male</t>
  </si>
  <si>
    <t>cull hens</t>
  </si>
  <si>
    <t>cull roosters</t>
  </si>
  <si>
    <t>Total chicken produced (lbs/yr)</t>
  </si>
  <si>
    <t>Chicken from broilers</t>
  </si>
  <si>
    <t>cull broiler hen</t>
  </si>
  <si>
    <t>cull broiler rooster</t>
  </si>
  <si>
    <t>harvested broilers</t>
  </si>
  <si>
    <t>Salvage rate - cow and bull</t>
  </si>
  <si>
    <t>Female replacement rate</t>
  </si>
  <si>
    <t>Salvage rate - ram</t>
  </si>
  <si>
    <t>Salvage rate - ewe</t>
  </si>
  <si>
    <t>Salvage rate - sows</t>
  </si>
  <si>
    <t>Salvage rate - boars</t>
  </si>
  <si>
    <t>Hen replacement rate</t>
  </si>
  <si>
    <t>Salvage rate - hens</t>
  </si>
  <si>
    <t>Rooster replacement rate</t>
  </si>
  <si>
    <t>Salvage rate - roosters</t>
  </si>
  <si>
    <t>Tom replacement rate</t>
  </si>
  <si>
    <t>Hen salvage rate</t>
  </si>
  <si>
    <t>Tom salvage rate</t>
  </si>
  <si>
    <t>Sow replacement rate</t>
  </si>
  <si>
    <t>Boar replacement rate</t>
  </si>
  <si>
    <t xml:space="preserve">Feed notes: </t>
  </si>
  <si>
    <t>Avg hen/tom</t>
  </si>
  <si>
    <t>cull toms</t>
  </si>
  <si>
    <t>Fats and Oils</t>
  </si>
  <si>
    <t>Availability of edible oil</t>
  </si>
  <si>
    <t>lbs/yr/capita</t>
  </si>
  <si>
    <t>Oil</t>
  </si>
  <si>
    <t>USDA Food Pattern</t>
  </si>
  <si>
    <t>Oil (oz)</t>
  </si>
  <si>
    <t>Nuts (real oz)</t>
  </si>
  <si>
    <t>Seafood (oz)</t>
  </si>
  <si>
    <t>Oils</t>
  </si>
  <si>
    <t>In diary (cups)</t>
  </si>
  <si>
    <t>~17+</t>
  </si>
  <si>
    <t>In butter (oz)</t>
  </si>
  <si>
    <t>In beef (oz)</t>
  </si>
  <si>
    <t>at least 25.5</t>
  </si>
  <si>
    <t>In pork (oz)</t>
  </si>
  <si>
    <t>In lamb (oz)</t>
  </si>
  <si>
    <t>In chicken (oz)</t>
  </si>
  <si>
    <t xml:space="preserve">In turkey (oz) </t>
  </si>
  <si>
    <t>In eggs (#)</t>
  </si>
  <si>
    <t>Solid fats</t>
  </si>
  <si>
    <t>~48</t>
  </si>
  <si>
    <t>g of fat/d to primary product lbs/y</t>
  </si>
  <si>
    <t xml:space="preserve"> </t>
  </si>
  <si>
    <t>Olive Oil</t>
  </si>
  <si>
    <t>Alcoholic beverages:  Per capita availability (*not loss adjusted)</t>
  </si>
  <si>
    <t>eliminated</t>
  </si>
  <si>
    <t>2060 New England Diet</t>
  </si>
  <si>
    <t>n.d</t>
  </si>
  <si>
    <t>Acres</t>
  </si>
  <si>
    <t>Soy total</t>
  </si>
  <si>
    <t>Corn total</t>
  </si>
  <si>
    <t>dry beans -- 2 cups/week -- counts towards vegetable servings</t>
  </si>
  <si>
    <t>Beef: harvested - pasture &amp; hay</t>
  </si>
  <si>
    <t>Assumes all fat stays in cheese. In reality, some goes with the whey, but it's very small amount</t>
  </si>
  <si>
    <t>Olive</t>
  </si>
  <si>
    <t>Cheese (serv = 1.5oz)</t>
  </si>
  <si>
    <t>Chestnuts</t>
  </si>
  <si>
    <t>Current consumption</t>
  </si>
  <si>
    <t>Could replace some wine, beer</t>
  </si>
  <si>
    <t>Beef: replacements - pasture &amp; hay</t>
  </si>
  <si>
    <t>Sheep - pasture &amp; hay</t>
  </si>
  <si>
    <t>Beef calves - pasture &amp; hay</t>
  </si>
  <si>
    <t>Beef bulls - pasture &amp; hay</t>
  </si>
  <si>
    <t>Beef cows - pasture &amp; hay</t>
  </si>
  <si>
    <t>Dairy beef - pasture &amp; hay</t>
  </si>
  <si>
    <t>Dairy heifers - pasture &amp; hay</t>
  </si>
  <si>
    <t>Dairy calf - pasture &amp; hay</t>
  </si>
  <si>
    <t>Dairy bulls - pasture &amp; hay</t>
  </si>
  <si>
    <t>Dairy cow - pasture &amp; hay</t>
  </si>
  <si>
    <t>**= consumption equal to current</t>
  </si>
  <si>
    <t>Beef***</t>
  </si>
  <si>
    <t>***= consumption determined by pasture acreage available</t>
  </si>
  <si>
    <t>*=consumption that we set</t>
  </si>
  <si>
    <t>Seafood*</t>
  </si>
  <si>
    <t>Pork*</t>
  </si>
  <si>
    <t>Lamb*</t>
  </si>
  <si>
    <t>Beans (cups/d)</t>
  </si>
  <si>
    <t>Omnivore's Delight</t>
  </si>
  <si>
    <t>1 egg = 1 oz -- same as current consumption</t>
  </si>
  <si>
    <t>USDA rec is 2 cups/day.  Current consumption is  0.78 cups/day</t>
  </si>
  <si>
    <t>New England 2060 Ominvore's Delight</t>
  </si>
  <si>
    <t>Eggs** (# of eggs)</t>
  </si>
  <si>
    <t>Coffee, tea, chocolate</t>
  </si>
  <si>
    <t>Laying hens</t>
  </si>
  <si>
    <t>No. of marketable eggs per year</t>
  </si>
  <si>
    <t>NE NASS average 2007-2011</t>
  </si>
  <si>
    <t>dairyxbeef cattle</t>
  </si>
  <si>
    <t>Christmas Trees</t>
  </si>
  <si>
    <t>Notes</t>
  </si>
  <si>
    <t>Source</t>
  </si>
  <si>
    <t>NE yield estimates</t>
  </si>
  <si>
    <t xml:space="preserve">Current Acreage </t>
  </si>
  <si>
    <t>Wheat</t>
  </si>
  <si>
    <t>Barley (beer)</t>
  </si>
  <si>
    <t>1,000 acres</t>
  </si>
  <si>
    <t>New England total</t>
  </si>
  <si>
    <t>Non-New England total</t>
  </si>
  <si>
    <t>Total Ag Footprint of New Englanders</t>
  </si>
  <si>
    <t>Per capita Ag Footprint of New Englanders</t>
  </si>
  <si>
    <t>Source:</t>
  </si>
  <si>
    <t xml:space="preserve">Source for yields: </t>
  </si>
  <si>
    <t>Peters et al 2005</t>
  </si>
  <si>
    <t>NE NASS 5-yr average (2005-2009)</t>
  </si>
  <si>
    <t>Current blueberry acreage (Census of Agriculture 2007) is used to derive NE  consumption in 2060</t>
  </si>
  <si>
    <t>Current cranberry acreage (Census of Agriculture 2007) is used to derive NE  consumption in 2060</t>
  </si>
  <si>
    <t xml:space="preserve">Vegetable consumption </t>
  </si>
  <si>
    <t>Source: ERS Loss Adjusted Food Availability Data Series (average 2006-2010)</t>
  </si>
  <si>
    <t>Source for yields</t>
  </si>
  <si>
    <t>UN FAO world average (2000-2010)</t>
  </si>
  <si>
    <t>1 lb wheat grain equals .98 lb whole wheat flour; .74 lb refined flour.  Assumed corn and oats mainly whole. See Buzby et al.</t>
  </si>
  <si>
    <t>Milling recovery (amount of milled/white rice from paddy rice) is 65-70%. See International Rice Research Council (www.knowledgebank.irri.org/rkb/index.php/rice-milling) and Louisiana State University Thesis by Rebecca Schram (http://etd.lsu.edu/docs/available/etd-04092010-162834/unrestricted/schrammdiss.pdf)</t>
  </si>
  <si>
    <t>**The cream skimmed off is used to produce ice cream and butter</t>
  </si>
  <si>
    <r>
      <t xml:space="preserve">Source: Conservative estimate based on personal communication with producers (Shelbourne Farms &amp; Appleton Farms); Moynihan, Meg ed. (2006) </t>
    </r>
    <r>
      <rPr>
        <i/>
        <sz val="10"/>
        <rFont val="Arial"/>
        <family val="2"/>
      </rPr>
      <t>Dairy your way: A guide to management alternatives in the Upper Midwest.</t>
    </r>
    <r>
      <rPr>
        <sz val="10"/>
        <rFont val="Arial"/>
        <family val="2"/>
      </rPr>
      <t xml:space="preserve"> Minnesota Department of Agriculture. Pg 36; Owens, Lynn ed. (2007) </t>
    </r>
    <r>
      <rPr>
        <i/>
        <sz val="10"/>
        <rFont val="Arial"/>
        <family val="2"/>
      </rPr>
      <t>Profitable Grazing-Based Dairy Systems.</t>
    </r>
    <r>
      <rPr>
        <sz val="10"/>
        <rFont val="Arial"/>
        <family val="2"/>
      </rPr>
      <t xml:space="preserve"> United States Department of Agriculture, Natural Resources Conservation Service. Pg 1-40. </t>
    </r>
  </si>
  <si>
    <t>USDA, National Statistics Service, National Statistics for Peanuts (average 2006-2010) http://quickstats.nass.usda.gov/results/D0973EA6-853D-397A-A26B-226A4BA23C41?pivot=short_desc</t>
  </si>
  <si>
    <t>Nut Yield</t>
  </si>
  <si>
    <t>shelled, lbs/ac</t>
  </si>
  <si>
    <t>in shell, lbs/ac</t>
  </si>
  <si>
    <t>in shell (assumed), lbs/ac</t>
  </si>
  <si>
    <t>Shelling ratio</t>
  </si>
  <si>
    <t>n/a</t>
  </si>
  <si>
    <t>Shelled yield</t>
  </si>
  <si>
    <t xml:space="preserve">Source: </t>
  </si>
  <si>
    <t>USDA, NASS, Quick Stats, http://quickstats.nass.usda.gov/</t>
  </si>
  <si>
    <t>Average</t>
  </si>
  <si>
    <r>
      <t xml:space="preserve">Andersen, P.C. and T.E. Crocker. (2004, revised 2012) </t>
    </r>
    <r>
      <rPr>
        <i/>
        <sz val="10"/>
        <color indexed="8"/>
        <rFont val="Arial"/>
        <family val="2"/>
      </rPr>
      <t>The Pecan Tree.</t>
    </r>
    <r>
      <rPr>
        <sz val="10"/>
        <color indexed="8"/>
        <rFont val="Arial"/>
        <family val="2"/>
      </rPr>
      <t xml:space="preserve"> Horticultural Science Department, Florida Cooperative Extension. Doc HS982,  http://edis.ifas.ufl.edu/hs229</t>
    </r>
  </si>
  <si>
    <r>
      <t xml:space="preserve">Lukasiewicz, J. (1994) "Nuts with Comercial Potential for America's Heartland," </t>
    </r>
    <r>
      <rPr>
        <i/>
        <sz val="10"/>
        <color indexed="8"/>
        <rFont val="Arial"/>
        <family val="2"/>
      </rPr>
      <t>New Crops News.</t>
    </r>
    <r>
      <rPr>
        <sz val="10"/>
        <color indexed="8"/>
        <rFont val="Arial"/>
        <family val="2"/>
      </rPr>
      <t xml:space="preserve"> Center for New Crops and Plant Products, Purdue University. 4 (1).</t>
    </r>
  </si>
  <si>
    <t>Grain Yields</t>
  </si>
  <si>
    <t>National Yields (USDA, NASS QuickStats)</t>
  </si>
  <si>
    <t>USDA, NASS, QuickStats</t>
  </si>
  <si>
    <t>Rice (lbs)</t>
  </si>
  <si>
    <t>Oats (bu)</t>
  </si>
  <si>
    <t>weight of bushel</t>
  </si>
  <si>
    <t>Barley (bu)</t>
  </si>
  <si>
    <t>Corn (bu)</t>
  </si>
  <si>
    <t>Wheat (bu)</t>
  </si>
  <si>
    <t>Sources</t>
  </si>
  <si>
    <t>Yields: USDA, NASS, Quick Stats, http://quickstats.nass.usda.gov/</t>
  </si>
  <si>
    <r>
      <t xml:space="preserve">Bushel weights: Economic Research Service. (1992). </t>
    </r>
    <r>
      <rPr>
        <i/>
        <sz val="10"/>
        <rFont val="Arial"/>
        <family val="2"/>
      </rPr>
      <t xml:space="preserve">Weights, Measures, and Conversion Factors for Agricultural Commodities and Their Products. </t>
    </r>
    <r>
      <rPr>
        <sz val="10"/>
        <rFont val="Arial"/>
        <family val="2"/>
      </rPr>
      <t>Agricultural Handbook No. (AH-697) 77pp.</t>
    </r>
  </si>
  <si>
    <t>tons/ac</t>
  </si>
  <si>
    <t>Sugarbeets</t>
  </si>
  <si>
    <t>Sugarcane</t>
  </si>
  <si>
    <t>2011/12</t>
  </si>
  <si>
    <t>2009/10</t>
  </si>
  <si>
    <t>2010/11</t>
  </si>
  <si>
    <t>2012/13</t>
  </si>
  <si>
    <t>2013/14</t>
  </si>
  <si>
    <t>Yield - worldwide</t>
  </si>
  <si>
    <t>Tangerines, mandarins, clementines</t>
  </si>
  <si>
    <t>Source: United Nations, Food and Agriculture Organization, median yield (2000-2010) across all producing countries</t>
  </si>
  <si>
    <t>Median Yield Worldwide</t>
  </si>
  <si>
    <t xml:space="preserve">ERS does not report about lbs/yr that are exported. However, acreage is so small, the impact would be miniscule. </t>
  </si>
  <si>
    <t>Total produced and imported average 2006-2010</t>
  </si>
  <si>
    <t>Yield: United Nations, Food and Agriculture Organization, median yield (2000-2010) across all producing countries</t>
  </si>
  <si>
    <t>Total produced and imported: USDA, Economic Research Service, Food Total Availability Data Series</t>
  </si>
  <si>
    <t>United Nations, Food and Agriculture Organization Statistics, median yield (2000-2010) across all producing countries</t>
  </si>
  <si>
    <t>5-yr avg from 2004/05-2008/9. Sources:  Crop Production, Grain Stocks, and Crop Values, National Agricultural Statistics Service and U.S. Trade Internet System,  Foreign Agricultural Service, USDA.</t>
  </si>
  <si>
    <t>Sources for yields</t>
  </si>
  <si>
    <t>after loss g fat/d to primary lbs oil/yr</t>
  </si>
  <si>
    <t>Source for Yields</t>
  </si>
  <si>
    <t>USDA, NASS, Quick Stats Lite, http://www.nass.usda.gov/Quick_Stats/Lite</t>
  </si>
  <si>
    <t>Maine - Barley (bu)</t>
  </si>
  <si>
    <t xml:space="preserve">USDA, NASS does not report statistics on wheat, corn for grain, rice, or oats for any New England states, and it reports barley yields for Maine only. </t>
  </si>
  <si>
    <t>na</t>
  </si>
  <si>
    <t xml:space="preserve">Soy </t>
  </si>
  <si>
    <t>Oil Yields</t>
  </si>
  <si>
    <t>USDA, NASS, QuickStats http://quickstats.nass.usda.gov/</t>
  </si>
  <si>
    <t>UN-FAO median yield, 2000-2010</t>
  </si>
  <si>
    <t>Item</t>
  </si>
  <si>
    <t xml:space="preserve"> med_yield </t>
  </si>
  <si>
    <t xml:space="preserve"> avg_yield </t>
  </si>
  <si>
    <t xml:space="preserve">med_yield_not_US </t>
  </si>
  <si>
    <t xml:space="preserve">avg_yield_not_US </t>
  </si>
  <si>
    <t>ALL COUNTRIES IN UN FAO DATABASE</t>
  </si>
  <si>
    <t>hg/ha</t>
  </si>
  <si>
    <t>Walnuts, with shell</t>
  </si>
  <si>
    <t>Pistachios</t>
  </si>
  <si>
    <t>Almonds, with shell</t>
  </si>
  <si>
    <t>Brazil nuts, with shell</t>
  </si>
  <si>
    <t>Cashew nuts, with shell</t>
  </si>
  <si>
    <t>Groundnuts, with shell</t>
  </si>
  <si>
    <t>Hazelnuts, with shell</t>
  </si>
  <si>
    <t>Tangerines, mandarins, clem.</t>
  </si>
  <si>
    <t>Grapefruit (inc. pomelos)</t>
  </si>
  <si>
    <t>Avocados</t>
  </si>
  <si>
    <t>Plantains</t>
  </si>
  <si>
    <t>Papayas</t>
  </si>
  <si>
    <t>Mangoes, mangosteens, guavas</t>
  </si>
  <si>
    <t>Kiwi fruit</t>
  </si>
  <si>
    <t>Cinnamon (canella)</t>
  </si>
  <si>
    <t>Rice, paddy</t>
  </si>
  <si>
    <t>Misc</t>
  </si>
  <si>
    <t>Sugar beet</t>
  </si>
  <si>
    <t>Sugar cane</t>
  </si>
  <si>
    <t>Cocoa beans</t>
  </si>
  <si>
    <t>Coconuts</t>
  </si>
  <si>
    <t>Rapeseed</t>
  </si>
  <si>
    <t>USDA, Economic Research Service, Sugar and Sweeteners Yearbook Tables, Table 17</t>
  </si>
  <si>
    <t>USDA, Economic Research Service, Sugar and Sweeteners Yearbook Tables, Table 15</t>
  </si>
  <si>
    <t>USDA/Economic Research Service.  Data last updated Feb. 1, 2010. Data discontinued after 2008.</t>
  </si>
  <si>
    <t>Source: Food and Agriculture Organization of the United Nations, the Statistics Division, http://faostat.fao.org/</t>
  </si>
  <si>
    <t>Source for Yield Data:</t>
  </si>
  <si>
    <t xml:space="preserve">Source for all shelling ratios: </t>
  </si>
  <si>
    <t>USDA, ERS. (1992). "Weights, Measures, and Conversion Factors for Agricultural Commodities and Their Products." Agricultural Handbook Number 697.</t>
  </si>
  <si>
    <t>Current consumption of grain</t>
  </si>
  <si>
    <t>USDA, NASS and California Department of Food and Agriculture, 2013 California Raisin Grape Objective Measurement Report</t>
  </si>
  <si>
    <t xml:space="preserve">White Rice </t>
  </si>
  <si>
    <t>Grain (for direct human consumption)</t>
  </si>
  <si>
    <t xml:space="preserve">Malt required per gallon, including spoilage loss, from personal communication with Valley Malt, Feb 11, 2011. </t>
  </si>
  <si>
    <t>2008-2012 Average</t>
  </si>
  <si>
    <t>1999-2003 Average</t>
  </si>
  <si>
    <t>Sources:</t>
  </si>
  <si>
    <t xml:space="preserve">USDA, NASS, New England Field Office. "New England Fruits and Vegetables, 2012 Crop" </t>
  </si>
  <si>
    <t>Peters et al., 2005</t>
  </si>
  <si>
    <t>US Yield</t>
  </si>
  <si>
    <t>California Raisin Grape Yield</t>
  </si>
  <si>
    <t>Worldwide Yield</t>
  </si>
  <si>
    <t>2000-2010 Median</t>
  </si>
  <si>
    <t>USDA, NASS, Citrus Fruits 2013 Summary. (ISSN: 1948-9048); USDA, NASS Citrus Fruist 2010 Summary (Fr Nt 3-1 (10))</t>
  </si>
  <si>
    <t>Bearing acreage</t>
  </si>
  <si>
    <t>Production (lbs)</t>
  </si>
  <si>
    <t>Raisins</t>
  </si>
  <si>
    <t>Other tree fruit (cool climate)</t>
  </si>
  <si>
    <t>Other berries, grapes, melon (cool climate)</t>
  </si>
  <si>
    <t>Cool Climate Fruit Subtotal</t>
  </si>
  <si>
    <t>Cool Climate Fruit</t>
  </si>
  <si>
    <t>Cool Climate Fruits</t>
  </si>
  <si>
    <t>Warm Climate Friuts</t>
  </si>
  <si>
    <t>Warm Climate Fruit</t>
  </si>
  <si>
    <t>Other fruit (warm climate)</t>
  </si>
  <si>
    <t xml:space="preserve">cull ewes </t>
  </si>
  <si>
    <t xml:space="preserve">lettuce, greens, broccoli  </t>
  </si>
  <si>
    <t>mostly apples, also cranberries blueberries, grapes</t>
  </si>
  <si>
    <t>Current consumption meets USDA rec-- OD increases whole grains to  1/2 total grain</t>
  </si>
  <si>
    <t xml:space="preserve">1 small steak/wk -- about 1/3 current consumption </t>
  </si>
  <si>
    <t>1 chop/wk  -- about 1/2 current consumption</t>
  </si>
  <si>
    <t>current protein consumption is 53 oz-eq/wk</t>
  </si>
  <si>
    <t>1.5 oz = 1 cup</t>
  </si>
  <si>
    <t>1.5 cups ice cream = 1 cup milk</t>
  </si>
  <si>
    <t>1 cup yogurt = 1 cup milk</t>
  </si>
  <si>
    <t xml:space="preserve">Wine </t>
  </si>
  <si>
    <t xml:space="preserve">Spirits </t>
  </si>
  <si>
    <t>USDA Census of Agriculture 2007 -- State level data</t>
  </si>
  <si>
    <t>Reasonable Weighted Estimate</t>
  </si>
  <si>
    <t xml:space="preserve">Currently, 37% of fruit consumption comes from juice. The USDA Dietary Guidelines say juice should not constitute more than half of fruit servings. </t>
  </si>
  <si>
    <t>Consumption is split roughly 56% (0.44 c/d) cool climate fruits and 44% (0.34 c/d) warm climate fruits. We simplified the ratio to 50-50.</t>
  </si>
  <si>
    <t>Current consumption of fruit is roughly .78 cups/day. Following the USDA Guidelines, we have set the target at 2 cups/day in the Omnivore's Delight</t>
  </si>
  <si>
    <t>**Butter and magerine consumption together are 0.24 oz (this would be a factor of change of 0.8).  Butter consumption included with Fats.</t>
  </si>
  <si>
    <t>see Protein</t>
  </si>
  <si>
    <t xml:space="preserve">706,000 cows </t>
  </si>
  <si>
    <t xml:space="preserve">12,000 bulls </t>
  </si>
  <si>
    <t xml:space="preserve">570,000 calves </t>
  </si>
  <si>
    <t xml:space="preserve">159,000 replacement heifers </t>
  </si>
  <si>
    <t xml:space="preserve">411,000 meat heifers and steers </t>
  </si>
  <si>
    <t>225,000 beef cows</t>
  </si>
  <si>
    <t xml:space="preserve">6,000 bulls </t>
  </si>
  <si>
    <t>182,000 calves</t>
  </si>
  <si>
    <t xml:space="preserve">131,000 head </t>
  </si>
  <si>
    <t>51,000 replacement heifers</t>
  </si>
  <si>
    <t>1 million ewes and rams, 1.2 million meat lambs and replacements</t>
  </si>
  <si>
    <t>71,000 recrational horses (same as current) -- some could be work horses</t>
  </si>
  <si>
    <t>25 million hens, pullets &amp; roosters  -- barnyards, chicken houses and free riders on pasture</t>
  </si>
  <si>
    <t>2.8 million pigs, sows, and boars -- barnyard, woods or other marginal pasture (not counted in ag land base)</t>
  </si>
  <si>
    <t xml:space="preserve">327 million broilers + 3 million hens, roosters &amp; replacements </t>
  </si>
  <si>
    <t>600,000 cows milking</t>
  </si>
  <si>
    <t xml:space="preserve">225,000 cows </t>
  </si>
  <si>
    <t xml:space="preserve">1 million breeding ewes </t>
  </si>
  <si>
    <t xml:space="preserve">71,000 recrational horses (same as current) </t>
  </si>
  <si>
    <t xml:space="preserve">2.6 million pigs + replacements </t>
  </si>
  <si>
    <t xml:space="preserve">161,000 sows &amp; 5,000 boars </t>
  </si>
  <si>
    <t xml:space="preserve">25 million hens, pullets &amp; roosters </t>
  </si>
  <si>
    <t xml:space="preserve">Pigs </t>
  </si>
  <si>
    <t xml:space="preserve">Hens </t>
  </si>
  <si>
    <t xml:space="preserve">Turkeys </t>
  </si>
  <si>
    <t>17 million turkeys + 400,000 breeders and replacements  -- on pasture, in orchards</t>
  </si>
  <si>
    <t xml:space="preserve">17 million turkeys + 400,000 breeders and replacements </t>
  </si>
  <si>
    <t>2.4 gal/cap x 500 gal/ac</t>
  </si>
  <si>
    <t>currently 15,000 ac</t>
  </si>
  <si>
    <t xml:space="preserve">current Acreage of wild blueberries </t>
  </si>
  <si>
    <t xml:space="preserve">current Acreage </t>
  </si>
  <si>
    <t>currently 2,000 ac</t>
  </si>
  <si>
    <t>currently 3,000 ac</t>
  </si>
  <si>
    <t>Comparing Fat and Oils from USDA Food Pattern and NE OD</t>
  </si>
  <si>
    <t>2060 OD</t>
  </si>
  <si>
    <t>17 million people</t>
  </si>
  <si>
    <t>(1,000 acres)</t>
  </si>
  <si>
    <t>New England 2060 Omnivore's Delight - Agricultural Footprint</t>
  </si>
  <si>
    <t>Farmland</t>
  </si>
  <si>
    <t xml:space="preserve">currently 100,000 ac </t>
  </si>
  <si>
    <t>Chile pepper - fresh</t>
  </si>
  <si>
    <t>Soybean</t>
  </si>
  <si>
    <t>Miscellaneous (coco, potato chips, etc.)</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</si>
</sst>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_(* #,##0.000_);_(* \(#,##0.000\);_(* &quot;-&quot;??_);_(@_)"/>
    <numFmt numFmtId="168" formatCode="_(* #,##0.00000_);_(* \(#,##0.00000\);_(* &quot;-&quot;??_);_(@_)"/>
    <numFmt numFmtId="169" formatCode="0.000"/>
    <numFmt numFmtId="170" formatCode="0.0"/>
    <numFmt numFmtId="171" formatCode="#,##0.0"/>
    <numFmt numFmtId="172" formatCode="#,##0;[Red]#,##0"/>
    <numFmt numFmtId="173" formatCode="_(* #,##0.000_);_(* \(#,##0.000\);_(* &quot;-&quot;???_);_(@_)"/>
    <numFmt numFmtId="174" formatCode="[$-409]dddd\,\ mmmm\ dd\,\ yyyy"/>
    <numFmt numFmtId="175" formatCode="[$-409]h:mm:ss\ AM/PM"/>
    <numFmt numFmtId="176" formatCode="0.0000"/>
    <numFmt numFmtId="177" formatCode="0.00000"/>
    <numFmt numFmtId="178" formatCode="0.000000"/>
    <numFmt numFmtId="179" formatCode="0.00000000"/>
    <numFmt numFmtId="180" formatCode="0.0000000"/>
    <numFmt numFmtId="181" formatCode="0.000000000"/>
    <numFmt numFmtId="182" formatCode="0.0000000000"/>
    <numFmt numFmtId="183" formatCode="0.00000000000"/>
    <numFmt numFmtId="184" formatCode="0.000000000000"/>
    <numFmt numFmtId="185" formatCode="0.0000000000000"/>
    <numFmt numFmtId="186" formatCode="0.00000000000000"/>
    <numFmt numFmtId="187" formatCode="0.000000000000000"/>
    <numFmt numFmtId="188" formatCode="0.0000000000000000"/>
    <numFmt numFmtId="189" formatCode="0.00000000000000000"/>
    <numFmt numFmtId="190" formatCode="0.000000000000000000"/>
    <numFmt numFmtId="191" formatCode="0.0000000000000000000"/>
    <numFmt numFmtId="192" formatCode="0.00000000000000000000"/>
    <numFmt numFmtId="193" formatCode="_(* #,##0.0000_);_(* \(#,##0.0000\);_(* &quot;-&quot;??_);_(@_)"/>
    <numFmt numFmtId="194" formatCode="&quot;Yes&quot;;&quot;Yes&quot;;&quot;No&quot;"/>
    <numFmt numFmtId="195" formatCode="&quot;True&quot;;&quot;True&quot;;&quot;False&quot;"/>
    <numFmt numFmtId="196" formatCode="&quot;On&quot;;&quot;On&quot;;&quot;Off&quot;"/>
    <numFmt numFmtId="197" formatCode="[$€-2]\ #,##0.00_);[Red]\([$€-2]\ #,##0.00\)"/>
    <numFmt numFmtId="198" formatCode="#,##0.0_);\(#,##0.0\)"/>
    <numFmt numFmtId="199" formatCode="_(* #,##0.0000_);_(* \(#,##0.0000\);_(* &quot;-&quot;????_);_(@_)"/>
    <numFmt numFmtId="200" formatCode="_(&quot;$&quot;* #,##0.0_);_(&quot;$&quot;* \(#,##0.0\);_(&quot;$&quot;* &quot;-&quot;??_);_(@_)"/>
    <numFmt numFmtId="201" formatCode="_(&quot;$&quot;* #,##0_);_(&quot;$&quot;* \(#,##0\);_(&quot;$&quot;* &quot;-&quot;??_);_(@_)"/>
    <numFmt numFmtId="202" formatCode="_(* #,##0.0_);_(* \(#,##0.0\);_(* &quot;-&quot;?_);_(@_)"/>
    <numFmt numFmtId="203" formatCode="_(* #,##0.00000000_);_(* \(#,##0.00000000\);_(* &quot;-&quot;????????_);_(@_)"/>
    <numFmt numFmtId="204" formatCode="_(* #,##0.0000000_);_(* \(#,##0.0000000\);_(* &quot;-&quot;???????_);_(@_)"/>
    <numFmt numFmtId="205" formatCode="_(* #,##0.000000_);_(* \(#,##0.000000\);_(* &quot;-&quot;??_);_(@_)"/>
    <numFmt numFmtId="206" formatCode="_(* #,##0.0000000_);_(* \(#,##0.0000000\);_(* &quot;-&quot;??_);_(@_)"/>
    <numFmt numFmtId="207" formatCode="_(* #,##0.00000000_);_(* \(#,##0.00000000\);_(* &quot;-&quot;??_);_(@_)"/>
    <numFmt numFmtId="208" formatCode="_(* #,##0.00000000000000_);_(* \(#,##0.00000000000000\);_(* &quot;-&quot;??????????????_);_(@_)"/>
    <numFmt numFmtId="209" formatCode="#,##0.000"/>
    <numFmt numFmtId="210" formatCode="#,##0.0000"/>
    <numFmt numFmtId="211" formatCode="#,##0.00000"/>
    <numFmt numFmtId="212" formatCode="0.000%"/>
    <numFmt numFmtId="213" formatCode="_(* #,##0.00000_);_(* \(#,##0.00000\);_(* &quot;-&quot;?????_);_(@_)"/>
  </numFmts>
  <fonts count="93">
    <font>
      <sz val="10"/>
      <name val="Arial"/>
      <family val="2"/>
    </font>
    <font>
      <sz val="8"/>
      <name val="Arial"/>
      <family val="2"/>
    </font>
    <font>
      <b/>
      <sz val="10"/>
      <name val="Arial"/>
      <family val="2"/>
    </font>
    <font>
      <b/>
      <sz val="11"/>
      <name val="Arial"/>
      <family val="2"/>
    </font>
    <font>
      <sz val="9"/>
      <name val="Arial"/>
      <family val="2"/>
    </font>
    <font>
      <u val="single"/>
      <sz val="10"/>
      <name val="Arial"/>
      <family val="2"/>
    </font>
    <font>
      <vertAlign val="superscript"/>
      <sz val="8"/>
      <name val="Arial"/>
      <family val="2"/>
    </font>
    <font>
      <b/>
      <sz val="9"/>
      <name val="Tahoma"/>
      <family val="2"/>
    </font>
    <font>
      <sz val="9"/>
      <name val="Tahoma"/>
      <family val="2"/>
    </font>
    <font>
      <b/>
      <sz val="12"/>
      <name val="Arial"/>
      <family val="2"/>
    </font>
    <font>
      <sz val="10"/>
      <color indexed="8"/>
      <name val="Arial"/>
      <family val="2"/>
    </font>
    <font>
      <vertAlign val="superscript"/>
      <sz val="10"/>
      <name val="Arial"/>
      <family val="2"/>
    </font>
    <font>
      <sz val="8"/>
      <color indexed="8"/>
      <name val="Arial"/>
      <family val="2"/>
    </font>
    <font>
      <b/>
      <sz val="14"/>
      <name val="Arial"/>
      <family val="2"/>
    </font>
    <font>
      <sz val="9"/>
      <name val="Calibri"/>
      <family val="2"/>
    </font>
    <font>
      <sz val="8"/>
      <name val="Calibri"/>
      <family val="2"/>
    </font>
    <font>
      <vertAlign val="superscript"/>
      <sz val="9"/>
      <name val="Arial"/>
      <family val="2"/>
    </font>
    <font>
      <sz val="10"/>
      <name val="Calibri"/>
      <family val="2"/>
    </font>
    <font>
      <i/>
      <sz val="9"/>
      <name val="Tahoma"/>
      <family val="2"/>
    </font>
    <font>
      <i/>
      <sz val="10"/>
      <name val="Arial"/>
      <family val="2"/>
    </font>
    <font>
      <sz val="7"/>
      <name val="Arial"/>
      <family val="2"/>
    </font>
    <font>
      <i/>
      <sz val="10"/>
      <color indexed="8"/>
      <name val="Arial"/>
      <family val="2"/>
    </font>
    <font>
      <sz val="8"/>
      <name val="Tahoma"/>
      <family val="2"/>
    </font>
    <font>
      <b/>
      <sz val="8"/>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Arial"/>
      <family val="2"/>
    </font>
    <font>
      <b/>
      <sz val="12"/>
      <color indexed="8"/>
      <name val="Arial"/>
      <family val="2"/>
    </font>
    <font>
      <b/>
      <sz val="10"/>
      <color indexed="8"/>
      <name val="Arial"/>
      <family val="2"/>
    </font>
    <font>
      <sz val="10"/>
      <color indexed="23"/>
      <name val="Arial"/>
      <family val="2"/>
    </font>
    <font>
      <b/>
      <sz val="10"/>
      <color indexed="23"/>
      <name val="Arial"/>
      <family val="2"/>
    </font>
    <font>
      <sz val="9"/>
      <color indexed="8"/>
      <name val="Arial"/>
      <family val="2"/>
    </font>
    <font>
      <sz val="10"/>
      <color indexed="19"/>
      <name val="Arial"/>
      <family val="2"/>
    </font>
    <font>
      <sz val="9"/>
      <color indexed="23"/>
      <name val="Arial"/>
      <family val="2"/>
    </font>
    <font>
      <sz val="11"/>
      <color indexed="8"/>
      <name val="Arial"/>
      <family val="2"/>
    </font>
    <font>
      <b/>
      <sz val="9"/>
      <color indexed="8"/>
      <name val="Arial"/>
      <family val="2"/>
    </font>
    <font>
      <sz val="8"/>
      <color indexed="10"/>
      <name val="Arial"/>
      <family val="2"/>
    </font>
    <font>
      <b/>
      <sz val="11"/>
      <color indexed="8"/>
      <name val="Arial"/>
      <family val="2"/>
    </font>
    <font>
      <b/>
      <sz val="10"/>
      <color indexed="10"/>
      <name val="Arial"/>
      <family val="2"/>
    </font>
    <font>
      <sz val="11"/>
      <name val="Calibri"/>
      <family val="2"/>
    </font>
    <font>
      <b/>
      <u val="single"/>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2"/>
      <color theme="1"/>
      <name val="Arial"/>
      <family val="2"/>
    </font>
    <font>
      <sz val="10"/>
      <color theme="1"/>
      <name val="Arial"/>
      <family val="2"/>
    </font>
    <font>
      <b/>
      <sz val="10"/>
      <color theme="1"/>
      <name val="Arial"/>
      <family val="2"/>
    </font>
    <font>
      <sz val="10"/>
      <color theme="0" tint="-0.4999699890613556"/>
      <name val="Arial"/>
      <family val="2"/>
    </font>
    <font>
      <b/>
      <sz val="10"/>
      <color theme="0" tint="-0.4999699890613556"/>
      <name val="Arial"/>
      <family val="2"/>
    </font>
    <font>
      <sz val="9"/>
      <color theme="1"/>
      <name val="Arial"/>
      <family val="2"/>
    </font>
    <font>
      <sz val="10"/>
      <color theme="2" tint="-0.4999699890613556"/>
      <name val="Arial"/>
      <family val="2"/>
    </font>
    <font>
      <sz val="9"/>
      <color theme="0" tint="-0.4999699890613556"/>
      <name val="Arial"/>
      <family val="2"/>
    </font>
    <font>
      <sz val="11"/>
      <color theme="1"/>
      <name val="Arial"/>
      <family val="2"/>
    </font>
    <font>
      <b/>
      <sz val="9"/>
      <color theme="1"/>
      <name val="Arial"/>
      <family val="2"/>
    </font>
    <font>
      <sz val="8"/>
      <color rgb="FFFF0000"/>
      <name val="Arial"/>
      <family val="2"/>
    </font>
    <font>
      <b/>
      <sz val="11"/>
      <color theme="1"/>
      <name val="Arial"/>
      <family val="2"/>
    </font>
    <font>
      <b/>
      <sz val="10"/>
      <color rgb="FFFF0000"/>
      <name val="Arial"/>
      <family val="2"/>
    </font>
    <font>
      <b/>
      <u val="single"/>
      <sz val="11"/>
      <color theme="1"/>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rgb="FFFFFF99"/>
        <bgColor indexed="64"/>
      </patternFill>
    </fill>
    <fill>
      <patternFill patternType="solid">
        <fgColor theme="0" tint="-0.24997000396251678"/>
        <bgColor indexed="64"/>
      </patternFill>
    </fill>
    <fill>
      <patternFill patternType="solid">
        <fgColor rgb="FFDD2405"/>
        <bgColor indexed="64"/>
      </patternFill>
    </fill>
    <fill>
      <patternFill patternType="solid">
        <fgColor rgb="FF00B050"/>
        <bgColor indexed="64"/>
      </patternFill>
    </fill>
    <fill>
      <patternFill patternType="solid">
        <fgColor theme="0" tint="-0.0499799996614456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color indexed="22"/>
      </bottom>
    </border>
    <border>
      <left style="thin"/>
      <right>
        <color indexed="63"/>
      </right>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tted"/>
    </border>
    <border>
      <left>
        <color indexed="63"/>
      </left>
      <right>
        <color indexed="63"/>
      </right>
      <top style="dotted"/>
      <bottom style="dotted"/>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medium"/>
      <right style="medium"/>
      <top style="medium"/>
      <bottom style="medium"/>
    </border>
    <border>
      <left style="medium"/>
      <right style="medium"/>
      <top>
        <color indexed="63"/>
      </top>
      <bottom>
        <color indexed="63"/>
      </bottom>
    </border>
    <border>
      <left>
        <color indexed="63"/>
      </left>
      <right>
        <color indexed="63"/>
      </right>
      <top style="thin">
        <color theme="0" tint="-0.149959996342659"/>
      </top>
      <bottom style="thin">
        <color theme="0" tint="-0.149959996342659"/>
      </bottom>
    </border>
    <border>
      <left style="medium"/>
      <right style="medium"/>
      <top style="thin">
        <color theme="0" tint="-0.149959996342659"/>
      </top>
      <bottom>
        <color indexed="63"/>
      </bottom>
    </border>
    <border>
      <left>
        <color indexed="63"/>
      </left>
      <right>
        <color indexed="63"/>
      </right>
      <top>
        <color indexed="63"/>
      </top>
      <bottom style="thin">
        <color theme="0" tint="-0.149959996342659"/>
      </bottom>
    </border>
    <border>
      <left style="medium"/>
      <right style="medium"/>
      <top>
        <color indexed="63"/>
      </top>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dotted"/>
    </border>
    <border>
      <left style="thin"/>
      <right>
        <color indexed="63"/>
      </right>
      <top style="dotted"/>
      <bottom style="dotted"/>
    </border>
    <border>
      <left style="thin"/>
      <right>
        <color indexed="63"/>
      </right>
      <top style="dotted"/>
      <bottom>
        <color indexed="63"/>
      </bottom>
    </border>
    <border>
      <left style="dotted"/>
      <right>
        <color indexed="63"/>
      </right>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thin"/>
      <bottom style="medium"/>
    </border>
    <border>
      <left style="thin"/>
      <right>
        <color indexed="63"/>
      </right>
      <top style="thin"/>
      <bottom style="medium"/>
    </border>
    <border>
      <left style="thin"/>
      <right style="thin"/>
      <top style="thin"/>
      <bottom style="medium"/>
    </border>
    <border>
      <left>
        <color indexed="63"/>
      </left>
      <right style="thin"/>
      <top style="thin"/>
      <bottom style="medium"/>
    </border>
    <border>
      <left>
        <color indexed="63"/>
      </left>
      <right>
        <color indexed="63"/>
      </right>
      <top style="dotted"/>
      <bottom style="thin"/>
    </border>
    <border>
      <left style="thin"/>
      <right style="dotted"/>
      <top style="thin"/>
      <bottom>
        <color indexed="63"/>
      </bottom>
    </border>
    <border>
      <left style="dotted"/>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58"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356">
    <xf numFmtId="0" fontId="0" fillId="0" borderId="0" xfId="0" applyAlignment="1">
      <alignment/>
    </xf>
    <xf numFmtId="3"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3" fontId="0" fillId="0" borderId="0" xfId="0" applyNumberFormat="1" applyBorder="1" applyAlignment="1">
      <alignment/>
    </xf>
    <xf numFmtId="0" fontId="0" fillId="0" borderId="0" xfId="0" applyFill="1" applyBorder="1" applyAlignment="1">
      <alignment/>
    </xf>
    <xf numFmtId="0" fontId="2" fillId="0" borderId="0" xfId="0" applyFont="1" applyFill="1" applyBorder="1" applyAlignment="1">
      <alignment/>
    </xf>
    <xf numFmtId="0" fontId="2" fillId="0" borderId="0" xfId="0" applyFont="1" applyAlignment="1">
      <alignment/>
    </xf>
    <xf numFmtId="3" fontId="2" fillId="0" borderId="0" xfId="0" applyNumberFormat="1" applyFont="1" applyAlignment="1">
      <alignment/>
    </xf>
    <xf numFmtId="0" fontId="77" fillId="0" borderId="0" xfId="0" applyFont="1" applyAlignment="1">
      <alignment/>
    </xf>
    <xf numFmtId="0" fontId="0" fillId="0" borderId="12" xfId="0" applyFill="1" applyBorder="1" applyAlignment="1">
      <alignment/>
    </xf>
    <xf numFmtId="0" fontId="0" fillId="0" borderId="12" xfId="0" applyBorder="1" applyAlignment="1">
      <alignment/>
    </xf>
    <xf numFmtId="3" fontId="0" fillId="0" borderId="12" xfId="0" applyNumberFormat="1" applyBorder="1" applyAlignment="1">
      <alignment/>
    </xf>
    <xf numFmtId="0" fontId="0" fillId="0" borderId="0" xfId="0" applyFont="1" applyAlignment="1">
      <alignment/>
    </xf>
    <xf numFmtId="164" fontId="0" fillId="0" borderId="0" xfId="42" applyNumberFormat="1" applyFont="1" applyAlignment="1">
      <alignment/>
    </xf>
    <xf numFmtId="164" fontId="77" fillId="0" borderId="0" xfId="42" applyNumberFormat="1" applyFont="1" applyAlignment="1">
      <alignment/>
    </xf>
    <xf numFmtId="164" fontId="0" fillId="0" borderId="0" xfId="42" applyNumberFormat="1" applyFont="1" applyAlignment="1">
      <alignment/>
    </xf>
    <xf numFmtId="164" fontId="0" fillId="0" borderId="0" xfId="42" applyNumberFormat="1" applyFont="1" applyFill="1" applyAlignment="1">
      <alignment/>
    </xf>
    <xf numFmtId="0" fontId="0" fillId="0" borderId="0" xfId="0" applyFont="1" applyBorder="1" applyAlignment="1">
      <alignment/>
    </xf>
    <xf numFmtId="2" fontId="0" fillId="0" borderId="0" xfId="0" applyNumberFormat="1" applyFont="1" applyBorder="1" applyAlignment="1">
      <alignment/>
    </xf>
    <xf numFmtId="2" fontId="0" fillId="0" borderId="0" xfId="0" applyNumberFormat="1" applyBorder="1" applyAlignment="1">
      <alignment/>
    </xf>
    <xf numFmtId="9" fontId="0" fillId="0" borderId="0" xfId="60" applyFont="1" applyBorder="1" applyAlignment="1">
      <alignment/>
    </xf>
    <xf numFmtId="1" fontId="0" fillId="0" borderId="0" xfId="0" applyNumberFormat="1" applyAlignment="1">
      <alignment/>
    </xf>
    <xf numFmtId="2" fontId="0" fillId="0" borderId="0" xfId="0" applyNumberFormat="1" applyAlignment="1">
      <alignment/>
    </xf>
    <xf numFmtId="171" fontId="0" fillId="0" borderId="0" xfId="0" applyNumberFormat="1" applyAlignment="1">
      <alignment/>
    </xf>
    <xf numFmtId="164" fontId="0" fillId="0" borderId="0" xfId="42" applyNumberFormat="1" applyFont="1" applyBorder="1" applyAlignment="1">
      <alignment/>
    </xf>
    <xf numFmtId="0" fontId="0" fillId="0" borderId="0" xfId="0" applyFill="1" applyAlignment="1">
      <alignment/>
    </xf>
    <xf numFmtId="164" fontId="0" fillId="0" borderId="0" xfId="42" applyNumberFormat="1" applyFont="1" applyFill="1" applyBorder="1" applyAlignment="1">
      <alignment/>
    </xf>
    <xf numFmtId="3" fontId="0" fillId="0" borderId="0" xfId="0" applyNumberFormat="1" applyFill="1" applyBorder="1" applyAlignment="1">
      <alignment/>
    </xf>
    <xf numFmtId="0" fontId="0" fillId="0" borderId="0" xfId="0" applyAlignment="1">
      <alignment horizontal="center"/>
    </xf>
    <xf numFmtId="0" fontId="0" fillId="0" borderId="0" xfId="0" applyFont="1" applyBorder="1" applyAlignment="1">
      <alignment horizontal="center"/>
    </xf>
    <xf numFmtId="0" fontId="0" fillId="0" borderId="0" xfId="0" applyFont="1" applyBorder="1" applyAlignment="1">
      <alignment horizontal="left" indent="1"/>
    </xf>
    <xf numFmtId="0" fontId="0" fillId="0" borderId="0" xfId="0" applyFont="1" applyAlignment="1">
      <alignment wrapText="1"/>
    </xf>
    <xf numFmtId="0" fontId="0" fillId="0" borderId="0" xfId="0" applyFont="1" applyAlignment="1">
      <alignment horizontal="left"/>
    </xf>
    <xf numFmtId="0" fontId="0" fillId="0" borderId="0" xfId="0" applyFont="1" applyBorder="1" applyAlignment="1">
      <alignment/>
    </xf>
    <xf numFmtId="164" fontId="0" fillId="0" borderId="0" xfId="42" applyNumberFormat="1" applyFont="1" applyBorder="1" applyAlignment="1">
      <alignment/>
    </xf>
    <xf numFmtId="164" fontId="0" fillId="0" borderId="0" xfId="42" applyNumberFormat="1" applyFont="1" applyBorder="1" applyAlignment="1">
      <alignment/>
    </xf>
    <xf numFmtId="0" fontId="0" fillId="0" borderId="0" xfId="0" applyFont="1" applyAlignment="1">
      <alignment/>
    </xf>
    <xf numFmtId="3" fontId="0" fillId="0" borderId="0" xfId="0" applyNumberFormat="1" applyFill="1" applyAlignment="1">
      <alignment/>
    </xf>
    <xf numFmtId="0" fontId="0" fillId="0" borderId="0" xfId="0" applyFont="1" applyFill="1" applyAlignment="1">
      <alignment/>
    </xf>
    <xf numFmtId="9" fontId="0" fillId="0" borderId="0" xfId="60" applyFont="1" applyAlignment="1">
      <alignment/>
    </xf>
    <xf numFmtId="166" fontId="0" fillId="0" borderId="0" xfId="42" applyNumberFormat="1" applyFont="1" applyAlignment="1">
      <alignment/>
    </xf>
    <xf numFmtId="43" fontId="0" fillId="0" borderId="0" xfId="42" applyNumberFormat="1" applyFont="1" applyAlignment="1">
      <alignment/>
    </xf>
    <xf numFmtId="164" fontId="0" fillId="0" borderId="0" xfId="42" applyNumberFormat="1" applyFont="1" applyAlignment="1">
      <alignment horizontal="right"/>
    </xf>
    <xf numFmtId="0" fontId="0" fillId="0" borderId="0" xfId="0" applyAlignment="1">
      <alignment horizontal="right"/>
    </xf>
    <xf numFmtId="43" fontId="0" fillId="0" borderId="0" xfId="0" applyNumberFormat="1" applyAlignment="1">
      <alignment/>
    </xf>
    <xf numFmtId="170" fontId="1" fillId="0" borderId="0" xfId="0" applyNumberFormat="1" applyFont="1" applyFill="1" applyBorder="1" applyAlignment="1">
      <alignment/>
    </xf>
    <xf numFmtId="0" fontId="0" fillId="33" borderId="0" xfId="0" applyFill="1" applyAlignment="1">
      <alignment/>
    </xf>
    <xf numFmtId="0" fontId="0" fillId="33" borderId="0" xfId="0" applyFill="1" applyBorder="1" applyAlignment="1">
      <alignment/>
    </xf>
    <xf numFmtId="0" fontId="3" fillId="0" borderId="0" xfId="0" applyFont="1" applyFill="1" applyAlignment="1">
      <alignment/>
    </xf>
    <xf numFmtId="3" fontId="0" fillId="0" borderId="0" xfId="0" applyNumberFormat="1" applyFont="1" applyAlignment="1">
      <alignment/>
    </xf>
    <xf numFmtId="0" fontId="0" fillId="0" borderId="11" xfId="0" applyFont="1" applyBorder="1" applyAlignment="1">
      <alignment/>
    </xf>
    <xf numFmtId="0" fontId="0" fillId="0" borderId="10" xfId="0" applyFont="1" applyBorder="1" applyAlignment="1">
      <alignment/>
    </xf>
    <xf numFmtId="1" fontId="2" fillId="0" borderId="0" xfId="0" applyNumberFormat="1" applyFont="1" applyAlignment="1">
      <alignment/>
    </xf>
    <xf numFmtId="164" fontId="0" fillId="0" borderId="13" xfId="42" applyNumberFormat="1" applyFont="1" applyBorder="1" applyAlignment="1">
      <alignment/>
    </xf>
    <xf numFmtId="3" fontId="0" fillId="0" borderId="11" xfId="0" applyNumberFormat="1" applyFont="1" applyFill="1" applyBorder="1" applyAlignment="1">
      <alignment/>
    </xf>
    <xf numFmtId="0" fontId="0" fillId="0" borderId="11" xfId="0" applyFont="1" applyFill="1" applyBorder="1" applyAlignment="1">
      <alignment/>
    </xf>
    <xf numFmtId="170" fontId="0" fillId="0" borderId="0" xfId="0" applyNumberFormat="1" applyFont="1" applyBorder="1" applyAlignment="1">
      <alignment/>
    </xf>
    <xf numFmtId="1" fontId="0" fillId="0" borderId="0" xfId="0" applyNumberFormat="1" applyFont="1" applyBorder="1" applyAlignment="1">
      <alignment/>
    </xf>
    <xf numFmtId="0" fontId="0" fillId="0" borderId="0" xfId="0" applyAlignment="1">
      <alignment/>
    </xf>
    <xf numFmtId="0" fontId="0" fillId="0" borderId="0" xfId="0" applyFont="1" applyAlignment="1">
      <alignment horizontal="center"/>
    </xf>
    <xf numFmtId="0" fontId="0" fillId="0" borderId="0" xfId="0" applyFont="1" applyAlignment="1">
      <alignment horizontal="left" indent="1"/>
    </xf>
    <xf numFmtId="0" fontId="1" fillId="0" borderId="0" xfId="0" applyFont="1" applyAlignment="1">
      <alignment/>
    </xf>
    <xf numFmtId="164" fontId="0" fillId="0" borderId="14" xfId="42" applyNumberFormat="1" applyFont="1" applyBorder="1" applyAlignment="1">
      <alignment/>
    </xf>
    <xf numFmtId="0" fontId="0" fillId="0" borderId="15" xfId="0" applyBorder="1" applyAlignment="1">
      <alignment horizontal="center"/>
    </xf>
    <xf numFmtId="0" fontId="0" fillId="0" borderId="15" xfId="0" applyBorder="1" applyAlignment="1">
      <alignment/>
    </xf>
    <xf numFmtId="164" fontId="0" fillId="0" borderId="0" xfId="0" applyNumberFormat="1" applyBorder="1" applyAlignment="1">
      <alignment/>
    </xf>
    <xf numFmtId="164" fontId="0" fillId="0" borderId="13" xfId="42" applyNumberFormat="1" applyFont="1" applyBorder="1" applyAlignment="1">
      <alignment/>
    </xf>
    <xf numFmtId="0" fontId="0" fillId="0" borderId="0" xfId="0" applyBorder="1" applyAlignment="1">
      <alignment/>
    </xf>
    <xf numFmtId="43" fontId="0" fillId="0" borderId="0" xfId="0" applyNumberFormat="1" applyBorder="1" applyAlignment="1">
      <alignment/>
    </xf>
    <xf numFmtId="1" fontId="0" fillId="0" borderId="0" xfId="0" applyNumberFormat="1" applyBorder="1" applyAlignment="1">
      <alignment/>
    </xf>
    <xf numFmtId="1" fontId="0" fillId="0" borderId="0" xfId="0" applyNumberFormat="1" applyFill="1" applyAlignment="1">
      <alignment/>
    </xf>
    <xf numFmtId="1" fontId="0" fillId="0" borderId="11" xfId="0" applyNumberFormat="1" applyFill="1" applyBorder="1" applyAlignment="1">
      <alignment/>
    </xf>
    <xf numFmtId="3" fontId="0" fillId="0" borderId="12" xfId="0" applyNumberFormat="1" applyFill="1" applyBorder="1" applyAlignment="1">
      <alignment/>
    </xf>
    <xf numFmtId="0" fontId="0" fillId="0" borderId="14" xfId="0" applyFont="1" applyBorder="1" applyAlignment="1">
      <alignment/>
    </xf>
    <xf numFmtId="164" fontId="0" fillId="0" borderId="0" xfId="42" applyNumberFormat="1" applyFont="1" applyFill="1" applyAlignment="1">
      <alignment/>
    </xf>
    <xf numFmtId="0" fontId="0" fillId="0" borderId="0" xfId="0" applyFont="1" applyAlignment="1">
      <alignment horizontal="right"/>
    </xf>
    <xf numFmtId="164" fontId="0" fillId="0" borderId="0" xfId="42" applyNumberFormat="1" applyFont="1" applyFill="1" applyBorder="1" applyAlignment="1">
      <alignment/>
    </xf>
    <xf numFmtId="0" fontId="0" fillId="0" borderId="0" xfId="0" applyFont="1" applyBorder="1" applyAlignment="1">
      <alignment horizontal="right"/>
    </xf>
    <xf numFmtId="164" fontId="0" fillId="0" borderId="0" xfId="0" applyNumberFormat="1" applyFont="1" applyBorder="1" applyAlignment="1">
      <alignment/>
    </xf>
    <xf numFmtId="0" fontId="0" fillId="0" borderId="0" xfId="0" applyFont="1" applyFill="1" applyBorder="1" applyAlignment="1">
      <alignment horizontal="right"/>
    </xf>
    <xf numFmtId="0" fontId="0" fillId="0" borderId="0" xfId="0" applyFont="1" applyFill="1" applyBorder="1" applyAlignment="1">
      <alignment/>
    </xf>
    <xf numFmtId="0" fontId="0" fillId="0" borderId="10" xfId="0" applyBorder="1" applyAlignment="1">
      <alignment horizontal="left" indent="1"/>
    </xf>
    <xf numFmtId="4" fontId="0" fillId="0" borderId="0" xfId="0" applyNumberFormat="1" applyFont="1" applyAlignment="1">
      <alignment/>
    </xf>
    <xf numFmtId="171" fontId="0" fillId="0" borderId="0" xfId="0" applyNumberFormat="1" applyBorder="1" applyAlignment="1">
      <alignment/>
    </xf>
    <xf numFmtId="0" fontId="77" fillId="0" borderId="0" xfId="0" applyFont="1" applyBorder="1" applyAlignment="1">
      <alignment/>
    </xf>
    <xf numFmtId="171" fontId="0" fillId="0" borderId="11" xfId="0" applyNumberFormat="1" applyBorder="1" applyAlignment="1">
      <alignment/>
    </xf>
    <xf numFmtId="171" fontId="0" fillId="0" borderId="12" xfId="0" applyNumberFormat="1" applyBorder="1" applyAlignment="1">
      <alignment/>
    </xf>
    <xf numFmtId="171" fontId="0" fillId="0" borderId="0" xfId="0" applyNumberFormat="1" applyFont="1" applyAlignment="1">
      <alignment/>
    </xf>
    <xf numFmtId="0" fontId="77" fillId="0" borderId="0" xfId="0" applyFont="1" applyAlignment="1">
      <alignment horizontal="left"/>
    </xf>
    <xf numFmtId="171" fontId="0" fillId="0" borderId="11" xfId="0" applyNumberFormat="1" applyFont="1" applyBorder="1" applyAlignment="1">
      <alignment/>
    </xf>
    <xf numFmtId="171" fontId="0" fillId="0" borderId="0" xfId="0" applyNumberFormat="1" applyFill="1" applyBorder="1" applyAlignment="1">
      <alignment/>
    </xf>
    <xf numFmtId="4" fontId="0" fillId="0" borderId="0" xfId="0" applyNumberFormat="1" applyFill="1" applyAlignment="1">
      <alignment/>
    </xf>
    <xf numFmtId="171" fontId="0" fillId="0" borderId="0" xfId="0" applyNumberFormat="1" applyFill="1" applyAlignment="1">
      <alignment/>
    </xf>
    <xf numFmtId="0" fontId="77" fillId="0" borderId="0" xfId="0" applyFont="1" applyFill="1" applyAlignment="1">
      <alignment/>
    </xf>
    <xf numFmtId="171" fontId="0" fillId="0" borderId="0" xfId="0" applyNumberFormat="1" applyFont="1" applyFill="1" applyAlignment="1">
      <alignment/>
    </xf>
    <xf numFmtId="0" fontId="0" fillId="0" borderId="11" xfId="0" applyFill="1" applyBorder="1" applyAlignment="1">
      <alignment/>
    </xf>
    <xf numFmtId="171" fontId="0" fillId="0" borderId="0" xfId="0" applyNumberFormat="1" applyFont="1" applyFill="1" applyBorder="1" applyAlignment="1">
      <alignment/>
    </xf>
    <xf numFmtId="0" fontId="77" fillId="0" borderId="0" xfId="0" applyFont="1" applyFill="1" applyBorder="1" applyAlignment="1">
      <alignment/>
    </xf>
    <xf numFmtId="166" fontId="0" fillId="0" borderId="0" xfId="42" applyNumberFormat="1" applyFont="1" applyFill="1" applyAlignment="1">
      <alignment/>
    </xf>
    <xf numFmtId="198" fontId="0" fillId="0" borderId="0" xfId="0" applyNumberFormat="1" applyFill="1" applyBorder="1" applyAlignment="1">
      <alignment/>
    </xf>
    <xf numFmtId="0" fontId="77" fillId="0" borderId="11" xfId="0" applyFont="1" applyFill="1" applyBorder="1" applyAlignment="1">
      <alignment/>
    </xf>
    <xf numFmtId="166" fontId="0" fillId="0" borderId="12" xfId="0" applyNumberFormat="1" applyFill="1" applyBorder="1" applyAlignment="1">
      <alignment/>
    </xf>
    <xf numFmtId="166" fontId="0" fillId="0" borderId="0" xfId="0" applyNumberFormat="1" applyFill="1" applyBorder="1" applyAlignment="1">
      <alignment/>
    </xf>
    <xf numFmtId="169" fontId="0" fillId="0" borderId="0" xfId="0" applyNumberFormat="1" applyBorder="1" applyAlignment="1">
      <alignment/>
    </xf>
    <xf numFmtId="0" fontId="0" fillId="0" borderId="13" xfId="0" applyBorder="1" applyAlignment="1">
      <alignment/>
    </xf>
    <xf numFmtId="164" fontId="0" fillId="0" borderId="16" xfId="42" applyNumberFormat="1" applyFont="1" applyBorder="1" applyAlignment="1">
      <alignment/>
    </xf>
    <xf numFmtId="43" fontId="0" fillId="0" borderId="13" xfId="42" applyNumberFormat="1" applyFont="1" applyBorder="1" applyAlignment="1">
      <alignment/>
    </xf>
    <xf numFmtId="0" fontId="0" fillId="0" borderId="10" xfId="0" applyFill="1" applyBorder="1" applyAlignment="1">
      <alignment/>
    </xf>
    <xf numFmtId="0" fontId="0" fillId="0" borderId="15" xfId="0" applyFont="1" applyBorder="1" applyAlignment="1">
      <alignment horizontal="center"/>
    </xf>
    <xf numFmtId="3" fontId="0" fillId="0" borderId="0" xfId="0" applyNumberFormat="1" applyFont="1" applyFill="1" applyAlignment="1">
      <alignment/>
    </xf>
    <xf numFmtId="0" fontId="0" fillId="0" borderId="12" xfId="0" applyFont="1" applyBorder="1" applyAlignment="1">
      <alignment/>
    </xf>
    <xf numFmtId="0" fontId="9" fillId="0" borderId="0" xfId="0" applyFont="1" applyAlignment="1">
      <alignment/>
    </xf>
    <xf numFmtId="49" fontId="78" fillId="0" borderId="0" xfId="42" applyNumberFormat="1" applyFont="1" applyAlignment="1">
      <alignment/>
    </xf>
    <xf numFmtId="0" fontId="9" fillId="0" borderId="0" xfId="0" applyFont="1" applyBorder="1" applyAlignment="1">
      <alignment/>
    </xf>
    <xf numFmtId="0" fontId="0" fillId="0" borderId="0" xfId="0" applyFont="1" applyAlignment="1">
      <alignment/>
    </xf>
    <xf numFmtId="49" fontId="0" fillId="0" borderId="0" xfId="42" applyNumberFormat="1" applyFont="1" applyAlignment="1">
      <alignment vertical="top" wrapText="1"/>
    </xf>
    <xf numFmtId="164" fontId="0" fillId="0" borderId="0" xfId="0" applyNumberFormat="1" applyAlignment="1">
      <alignment/>
    </xf>
    <xf numFmtId="164" fontId="0" fillId="0" borderId="0" xfId="0" applyNumberFormat="1" applyFill="1" applyBorder="1" applyAlignment="1">
      <alignment/>
    </xf>
    <xf numFmtId="0" fontId="0" fillId="0" borderId="0" xfId="0" applyFill="1" applyBorder="1" applyAlignment="1">
      <alignment wrapText="1"/>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0" fillId="33" borderId="0" xfId="0" applyFont="1" applyFill="1" applyBorder="1" applyAlignment="1">
      <alignment/>
    </xf>
    <xf numFmtId="43" fontId="0" fillId="0" borderId="0" xfId="0" applyNumberFormat="1" applyFill="1" applyBorder="1" applyAlignment="1">
      <alignment/>
    </xf>
    <xf numFmtId="2" fontId="0" fillId="0" borderId="0" xfId="0" applyNumberFormat="1" applyBorder="1" applyAlignment="1">
      <alignment/>
    </xf>
    <xf numFmtId="0" fontId="0" fillId="33" borderId="0" xfId="0" applyFill="1" applyBorder="1" applyAlignment="1">
      <alignment/>
    </xf>
    <xf numFmtId="2" fontId="0" fillId="33" borderId="0" xfId="0" applyNumberFormat="1" applyFill="1" applyBorder="1" applyAlignment="1">
      <alignment/>
    </xf>
    <xf numFmtId="43" fontId="0" fillId="0" borderId="0" xfId="42" applyFont="1" applyFill="1" applyBorder="1" applyAlignment="1">
      <alignment/>
    </xf>
    <xf numFmtId="2" fontId="0" fillId="0" borderId="0" xfId="0" applyNumberFormat="1" applyFill="1" applyBorder="1" applyAlignment="1">
      <alignment/>
    </xf>
    <xf numFmtId="0" fontId="0" fillId="0" borderId="0" xfId="0" applyAlignment="1">
      <alignment horizontal="left" vertical="top" wrapText="1"/>
    </xf>
    <xf numFmtId="0" fontId="0" fillId="0" borderId="0" xfId="0" applyAlignment="1">
      <alignment horizontal="left" vertical="top"/>
    </xf>
    <xf numFmtId="164" fontId="0" fillId="0" borderId="0" xfId="42" applyNumberFormat="1" applyFont="1" applyAlignment="1">
      <alignment/>
    </xf>
    <xf numFmtId="1" fontId="0" fillId="33" borderId="0" xfId="0" applyNumberFormat="1" applyFill="1" applyAlignment="1">
      <alignment horizontal="left" vertical="top" wrapText="1"/>
    </xf>
    <xf numFmtId="0" fontId="0" fillId="0" borderId="0" xfId="0" applyFill="1" applyAlignment="1">
      <alignment horizontal="left" vertical="top" wrapText="1"/>
    </xf>
    <xf numFmtId="0" fontId="0" fillId="0" borderId="0" xfId="0" applyFill="1" applyAlignment="1">
      <alignment horizontal="left" vertical="top"/>
    </xf>
    <xf numFmtId="0" fontId="0" fillId="33" borderId="0" xfId="0" applyFill="1" applyAlignment="1">
      <alignment horizontal="right" vertical="top" wrapText="1"/>
    </xf>
    <xf numFmtId="164" fontId="0" fillId="0" borderId="0" xfId="0" applyNumberFormat="1" applyFill="1" applyAlignment="1">
      <alignment horizontal="left" vertical="top" wrapText="1"/>
    </xf>
    <xf numFmtId="164" fontId="0" fillId="0" borderId="0" xfId="42" applyNumberFormat="1" applyFont="1" applyFill="1" applyAlignment="1">
      <alignment horizontal="left" vertical="top" wrapText="1"/>
    </xf>
    <xf numFmtId="164" fontId="0" fillId="0" borderId="0" xfId="0" applyNumberFormat="1" applyFill="1" applyAlignment="1">
      <alignment horizontal="left" vertical="top"/>
    </xf>
    <xf numFmtId="164" fontId="0" fillId="0" borderId="0" xfId="0" applyNumberFormat="1" applyAlignment="1">
      <alignment horizontal="left" vertical="top" wrapText="1"/>
    </xf>
    <xf numFmtId="43" fontId="0" fillId="0" borderId="0" xfId="0" applyNumberFormat="1" applyFill="1" applyAlignment="1">
      <alignment horizontal="left" vertical="top"/>
    </xf>
    <xf numFmtId="164" fontId="0" fillId="0" borderId="0" xfId="42" applyNumberFormat="1" applyFont="1" applyFill="1" applyAlignment="1">
      <alignment horizontal="left" vertical="top"/>
    </xf>
    <xf numFmtId="0" fontId="0" fillId="0" borderId="0" xfId="0" applyFont="1" applyFill="1" applyAlignment="1">
      <alignment horizontal="left" vertical="top"/>
    </xf>
    <xf numFmtId="0" fontId="0" fillId="0" borderId="11" xfId="0" applyFont="1" applyBorder="1" applyAlignment="1">
      <alignment horizontal="center" wrapText="1"/>
    </xf>
    <xf numFmtId="0" fontId="0" fillId="0" borderId="13" xfId="0" applyFont="1" applyBorder="1" applyAlignment="1">
      <alignment/>
    </xf>
    <xf numFmtId="0" fontId="0" fillId="0" borderId="0" xfId="0" applyBorder="1" applyAlignment="1">
      <alignment wrapText="1"/>
    </xf>
    <xf numFmtId="164" fontId="0" fillId="0" borderId="0" xfId="42" applyNumberFormat="1" applyFont="1" applyBorder="1" applyAlignment="1">
      <alignment/>
    </xf>
    <xf numFmtId="0" fontId="0" fillId="0" borderId="0" xfId="0" applyFill="1" applyBorder="1" applyAlignment="1">
      <alignment/>
    </xf>
    <xf numFmtId="164" fontId="0" fillId="0" borderId="0" xfId="42" applyNumberFormat="1" applyFont="1" applyFill="1" applyBorder="1" applyAlignment="1">
      <alignment wrapText="1"/>
    </xf>
    <xf numFmtId="49" fontId="0" fillId="0" borderId="0" xfId="0" applyNumberFormat="1" applyBorder="1" applyAlignment="1">
      <alignment/>
    </xf>
    <xf numFmtId="164" fontId="0" fillId="0" borderId="0" xfId="0" applyNumberFormat="1" applyFill="1" applyBorder="1" applyAlignment="1">
      <alignment/>
    </xf>
    <xf numFmtId="164" fontId="0" fillId="0" borderId="0" xfId="42" applyNumberFormat="1" applyFont="1" applyFill="1" applyBorder="1" applyAlignment="1">
      <alignment/>
    </xf>
    <xf numFmtId="164" fontId="0" fillId="0" borderId="0" xfId="0" applyNumberFormat="1" applyBorder="1" applyAlignment="1">
      <alignment/>
    </xf>
    <xf numFmtId="164" fontId="79" fillId="0" borderId="0" xfId="42" applyNumberFormat="1" applyFont="1" applyFill="1" applyAlignment="1">
      <alignment/>
    </xf>
    <xf numFmtId="0" fontId="80" fillId="0" borderId="0" xfId="0" applyFont="1" applyAlignment="1">
      <alignment/>
    </xf>
    <xf numFmtId="3" fontId="0" fillId="0" borderId="11" xfId="0" applyNumberFormat="1" applyFill="1" applyBorder="1" applyAlignment="1">
      <alignment/>
    </xf>
    <xf numFmtId="0" fontId="0" fillId="0" borderId="12" xfId="0" applyFont="1" applyFill="1" applyBorder="1" applyAlignment="1">
      <alignment/>
    </xf>
    <xf numFmtId="0" fontId="0" fillId="0" borderId="15" xfId="0" applyFont="1" applyBorder="1" applyAlignment="1">
      <alignment/>
    </xf>
    <xf numFmtId="0" fontId="0" fillId="0" borderId="15" xfId="0" applyFont="1" applyFill="1" applyBorder="1" applyAlignment="1">
      <alignment horizontal="center"/>
    </xf>
    <xf numFmtId="0" fontId="0" fillId="0" borderId="17" xfId="0" applyBorder="1" applyAlignment="1">
      <alignment/>
    </xf>
    <xf numFmtId="0" fontId="0" fillId="0" borderId="18" xfId="0" applyFont="1" applyBorder="1" applyAlignment="1">
      <alignment/>
    </xf>
    <xf numFmtId="3" fontId="0" fillId="0" borderId="16" xfId="0" applyNumberFormat="1" applyFont="1" applyFill="1" applyBorder="1" applyAlignment="1">
      <alignment/>
    </xf>
    <xf numFmtId="3" fontId="0" fillId="0" borderId="0" xfId="0" applyNumberFormat="1" applyFont="1" applyBorder="1" applyAlignment="1">
      <alignment/>
    </xf>
    <xf numFmtId="9" fontId="0" fillId="0" borderId="0" xfId="60" applyFont="1" applyBorder="1" applyAlignment="1">
      <alignment/>
    </xf>
    <xf numFmtId="43" fontId="0" fillId="0" borderId="0" xfId="42" applyNumberFormat="1" applyFont="1" applyAlignment="1">
      <alignment/>
    </xf>
    <xf numFmtId="9" fontId="0" fillId="0" borderId="0" xfId="60" applyFont="1" applyFill="1" applyBorder="1" applyAlignment="1">
      <alignment/>
    </xf>
    <xf numFmtId="166" fontId="0" fillId="0" borderId="0" xfId="42" applyNumberFormat="1" applyFont="1" applyBorder="1" applyAlignment="1">
      <alignment/>
    </xf>
    <xf numFmtId="0" fontId="0" fillId="0" borderId="12" xfId="42" applyNumberFormat="1" applyFont="1" applyBorder="1" applyAlignment="1">
      <alignment/>
    </xf>
    <xf numFmtId="0" fontId="0" fillId="0" borderId="0" xfId="42" applyNumberFormat="1" applyFont="1" applyAlignment="1">
      <alignment/>
    </xf>
    <xf numFmtId="43" fontId="0" fillId="0" borderId="0" xfId="42" applyNumberFormat="1" applyFont="1" applyFill="1" applyAlignment="1">
      <alignment/>
    </xf>
    <xf numFmtId="49" fontId="0" fillId="0" borderId="0" xfId="42" applyNumberFormat="1" applyFont="1" applyAlignment="1">
      <alignment/>
    </xf>
    <xf numFmtId="164" fontId="0" fillId="0" borderId="14" xfId="0" applyNumberFormat="1" applyFont="1" applyBorder="1" applyAlignment="1">
      <alignment/>
    </xf>
    <xf numFmtId="164" fontId="0" fillId="0" borderId="14" xfId="42" applyNumberFormat="1" applyFont="1" applyBorder="1" applyAlignment="1">
      <alignment/>
    </xf>
    <xf numFmtId="164" fontId="0" fillId="0" borderId="0" xfId="0" applyNumberFormat="1" applyFont="1" applyAlignment="1">
      <alignment/>
    </xf>
    <xf numFmtId="43" fontId="0" fillId="0" borderId="0" xfId="0" applyNumberFormat="1" applyFont="1" applyAlignment="1">
      <alignment/>
    </xf>
    <xf numFmtId="2" fontId="0" fillId="0" borderId="0" xfId="0" applyNumberFormat="1" applyFont="1" applyAlignment="1">
      <alignment/>
    </xf>
    <xf numFmtId="170" fontId="0" fillId="0" borderId="12" xfId="0" applyNumberFormat="1" applyFont="1" applyBorder="1" applyAlignment="1">
      <alignment/>
    </xf>
    <xf numFmtId="169" fontId="0" fillId="0" borderId="0" xfId="0" applyNumberFormat="1" applyFont="1" applyAlignment="1">
      <alignment/>
    </xf>
    <xf numFmtId="164" fontId="0" fillId="0" borderId="0" xfId="42" applyNumberFormat="1" applyFont="1" applyBorder="1" applyAlignment="1">
      <alignment horizontal="left" indent="1"/>
    </xf>
    <xf numFmtId="164" fontId="0" fillId="0" borderId="16" xfId="0" applyNumberFormat="1" applyFont="1" applyBorder="1" applyAlignment="1">
      <alignment/>
    </xf>
    <xf numFmtId="1" fontId="0" fillId="0" borderId="0" xfId="0" applyNumberFormat="1" applyFont="1" applyAlignment="1">
      <alignment/>
    </xf>
    <xf numFmtId="2" fontId="0" fillId="0" borderId="13" xfId="0" applyNumberFormat="1" applyFont="1" applyBorder="1" applyAlignment="1">
      <alignment/>
    </xf>
    <xf numFmtId="9" fontId="0" fillId="0" borderId="0" xfId="60" applyFont="1" applyAlignment="1">
      <alignment/>
    </xf>
    <xf numFmtId="2" fontId="0" fillId="0" borderId="0" xfId="0" applyNumberFormat="1" applyFont="1" applyFill="1" applyAlignment="1">
      <alignment/>
    </xf>
    <xf numFmtId="164" fontId="0" fillId="0" borderId="0" xfId="0" applyNumberFormat="1" applyFont="1" applyFill="1" applyBorder="1" applyAlignment="1">
      <alignment/>
    </xf>
    <xf numFmtId="0" fontId="0" fillId="0" borderId="0" xfId="42" applyNumberFormat="1" applyFont="1" applyBorder="1" applyAlignment="1">
      <alignment/>
    </xf>
    <xf numFmtId="164" fontId="0" fillId="0" borderId="0" xfId="42" applyNumberFormat="1" applyFont="1" applyAlignment="1">
      <alignment wrapText="1"/>
    </xf>
    <xf numFmtId="164" fontId="0" fillId="0" borderId="0" xfId="42" applyNumberFormat="1" applyFont="1" applyAlignment="1">
      <alignment vertical="top" wrapText="1"/>
    </xf>
    <xf numFmtId="164" fontId="80" fillId="0" borderId="0" xfId="42" applyNumberFormat="1" applyFont="1" applyAlignment="1">
      <alignment/>
    </xf>
    <xf numFmtId="49" fontId="80" fillId="0" borderId="0" xfId="42" applyNumberFormat="1" applyFont="1" applyAlignment="1">
      <alignment vertical="top" wrapText="1"/>
    </xf>
    <xf numFmtId="171" fontId="5" fillId="0" borderId="0" xfId="0" applyNumberFormat="1" applyFont="1" applyAlignment="1">
      <alignment horizontal="center"/>
    </xf>
    <xf numFmtId="4" fontId="0" fillId="0" borderId="0" xfId="0" applyNumberFormat="1" applyFont="1" applyFill="1" applyAlignment="1">
      <alignment/>
    </xf>
    <xf numFmtId="171" fontId="0" fillId="0" borderId="12" xfId="0" applyNumberFormat="1" applyFill="1" applyBorder="1" applyAlignment="1">
      <alignment/>
    </xf>
    <xf numFmtId="170" fontId="0" fillId="0" borderId="13" xfId="0" applyNumberFormat="1" applyFill="1" applyBorder="1" applyAlignment="1">
      <alignment/>
    </xf>
    <xf numFmtId="1" fontId="0" fillId="0" borderId="0" xfId="0" applyNumberFormat="1" applyFont="1" applyFill="1" applyAlignment="1">
      <alignment/>
    </xf>
    <xf numFmtId="0" fontId="78" fillId="0" borderId="0" xfId="0" applyFont="1" applyAlignment="1">
      <alignment/>
    </xf>
    <xf numFmtId="0" fontId="0" fillId="0" borderId="0" xfId="0" applyFont="1" applyFill="1" applyBorder="1" applyAlignment="1">
      <alignment horizontal="left"/>
    </xf>
    <xf numFmtId="170" fontId="0" fillId="0" borderId="13" xfId="0" applyNumberFormat="1" applyFont="1" applyBorder="1" applyAlignment="1">
      <alignment/>
    </xf>
    <xf numFmtId="170" fontId="0" fillId="0" borderId="13" xfId="0" applyNumberFormat="1" applyFont="1" applyFill="1" applyBorder="1" applyAlignment="1">
      <alignment/>
    </xf>
    <xf numFmtId="170" fontId="0" fillId="0" borderId="19" xfId="0" applyNumberFormat="1" applyFont="1" applyBorder="1" applyAlignment="1">
      <alignment/>
    </xf>
    <xf numFmtId="43" fontId="0" fillId="0" borderId="19" xfId="42" applyFont="1" applyBorder="1" applyAlignment="1">
      <alignment/>
    </xf>
    <xf numFmtId="43" fontId="0" fillId="0" borderId="12" xfId="42" applyFont="1" applyBorder="1" applyAlignment="1">
      <alignment/>
    </xf>
    <xf numFmtId="170" fontId="0" fillId="0" borderId="0" xfId="0" applyNumberFormat="1" applyFont="1" applyAlignment="1">
      <alignment/>
    </xf>
    <xf numFmtId="170" fontId="0" fillId="0" borderId="0" xfId="0" applyNumberFormat="1" applyFont="1" applyFill="1" applyBorder="1" applyAlignment="1">
      <alignment/>
    </xf>
    <xf numFmtId="9" fontId="0" fillId="0" borderId="15" xfId="60" applyFont="1" applyBorder="1" applyAlignment="1">
      <alignment/>
    </xf>
    <xf numFmtId="9" fontId="0" fillId="0" borderId="17" xfId="60" applyFont="1" applyBorder="1" applyAlignment="1">
      <alignment/>
    </xf>
    <xf numFmtId="43" fontId="0" fillId="0" borderId="0" xfId="42" applyFont="1" applyAlignment="1">
      <alignment/>
    </xf>
    <xf numFmtId="164" fontId="0" fillId="0" borderId="20" xfId="42" applyNumberFormat="1" applyFont="1" applyBorder="1" applyAlignment="1">
      <alignment/>
    </xf>
    <xf numFmtId="170" fontId="0" fillId="0" borderId="0" xfId="0" applyNumberFormat="1" applyFill="1" applyAlignment="1">
      <alignment/>
    </xf>
    <xf numFmtId="0" fontId="0" fillId="0" borderId="12" xfId="0" applyFont="1" applyFill="1" applyBorder="1" applyAlignment="1">
      <alignment/>
    </xf>
    <xf numFmtId="170" fontId="1" fillId="0" borderId="21" xfId="0" applyNumberFormat="1" applyFont="1" applyBorder="1" applyAlignment="1">
      <alignment/>
    </xf>
    <xf numFmtId="170" fontId="0" fillId="0" borderId="0" xfId="0" applyNumberFormat="1" applyFont="1" applyFill="1" applyAlignment="1">
      <alignment/>
    </xf>
    <xf numFmtId="164" fontId="0" fillId="0" borderId="12" xfId="0" applyNumberFormat="1" applyFill="1" applyBorder="1" applyAlignment="1">
      <alignment/>
    </xf>
    <xf numFmtId="0" fontId="2" fillId="0" borderId="0" xfId="0" applyNumberFormat="1" applyFont="1" applyFill="1" applyAlignment="1" quotePrefix="1">
      <alignment horizontal="left"/>
    </xf>
    <xf numFmtId="0" fontId="0" fillId="0" borderId="0" xfId="0" applyNumberFormat="1" applyFont="1" applyFill="1" applyAlignment="1">
      <alignment horizontal="right"/>
    </xf>
    <xf numFmtId="170" fontId="0" fillId="0" borderId="0" xfId="0" applyNumberFormat="1" applyFont="1" applyFill="1" applyAlignment="1">
      <alignment horizontal="right"/>
    </xf>
    <xf numFmtId="0" fontId="10" fillId="0" borderId="0" xfId="0" applyFont="1" applyFill="1" applyBorder="1" applyAlignment="1">
      <alignment horizontal="center"/>
    </xf>
    <xf numFmtId="170" fontId="0" fillId="0" borderId="0" xfId="0" applyNumberFormat="1" applyFont="1" applyFill="1" applyBorder="1" applyAlignment="1">
      <alignment horizontal="right"/>
    </xf>
    <xf numFmtId="0" fontId="10" fillId="0" borderId="11" xfId="0" applyFont="1" applyFill="1" applyBorder="1" applyAlignment="1">
      <alignment horizontal="center"/>
    </xf>
    <xf numFmtId="170" fontId="0" fillId="0" borderId="11" xfId="0" applyNumberFormat="1" applyFont="1" applyFill="1" applyBorder="1" applyAlignment="1">
      <alignment horizontal="right"/>
    </xf>
    <xf numFmtId="164" fontId="0" fillId="0" borderId="0" xfId="42" applyNumberFormat="1" applyFont="1" applyFill="1" applyBorder="1" applyAlignment="1">
      <alignment horizontal="right"/>
    </xf>
    <xf numFmtId="170" fontId="0" fillId="0" borderId="0" xfId="0" applyNumberFormat="1" applyFont="1" applyFill="1" applyBorder="1" applyAlignment="1">
      <alignment horizontal="left"/>
    </xf>
    <xf numFmtId="1" fontId="0" fillId="0" borderId="0" xfId="0" applyNumberFormat="1" applyFont="1" applyFill="1" applyBorder="1" applyAlignment="1">
      <alignment horizontal="right"/>
    </xf>
    <xf numFmtId="2" fontId="0" fillId="0" borderId="0" xfId="0" applyNumberFormat="1" applyFont="1" applyFill="1" applyBorder="1" applyAlignment="1">
      <alignment horizontal="right"/>
    </xf>
    <xf numFmtId="0" fontId="0" fillId="0" borderId="0" xfId="0" applyFont="1" applyFill="1" applyAlignment="1" quotePrefix="1">
      <alignment/>
    </xf>
    <xf numFmtId="170" fontId="0" fillId="0" borderId="12" xfId="0" applyNumberFormat="1" applyFont="1" applyFill="1" applyBorder="1" applyAlignment="1">
      <alignment horizontal="right"/>
    </xf>
    <xf numFmtId="0" fontId="10" fillId="0" borderId="0" xfId="0" applyFont="1" applyFill="1" applyBorder="1" applyAlignment="1">
      <alignment horizontal="left"/>
    </xf>
    <xf numFmtId="164" fontId="0" fillId="0" borderId="12" xfId="42" applyNumberFormat="1" applyFont="1" applyFill="1" applyBorder="1" applyAlignment="1">
      <alignment/>
    </xf>
    <xf numFmtId="0" fontId="0" fillId="0" borderId="0" xfId="0" applyFont="1" applyFill="1" applyBorder="1" applyAlignment="1">
      <alignment/>
    </xf>
    <xf numFmtId="164" fontId="0" fillId="0" borderId="0" xfId="42" applyNumberFormat="1" applyFont="1" applyFill="1" applyBorder="1" applyAlignment="1">
      <alignment/>
    </xf>
    <xf numFmtId="164" fontId="0" fillId="0" borderId="0" xfId="42" applyNumberFormat="1" applyFont="1" applyFill="1" applyAlignment="1">
      <alignment/>
    </xf>
    <xf numFmtId="0" fontId="81" fillId="0" borderId="0" xfId="0" applyFont="1" applyAlignment="1">
      <alignment/>
    </xf>
    <xf numFmtId="9" fontId="81" fillId="0" borderId="0" xfId="0" applyNumberFormat="1" applyFont="1" applyAlignment="1">
      <alignment/>
    </xf>
    <xf numFmtId="1" fontId="0" fillId="0" borderId="0" xfId="0" applyNumberFormat="1" applyFill="1" applyBorder="1" applyAlignment="1">
      <alignment/>
    </xf>
    <xf numFmtId="0" fontId="0" fillId="0" borderId="0" xfId="0" applyFont="1" applyFill="1" applyBorder="1" applyAlignment="1">
      <alignment wrapText="1"/>
    </xf>
    <xf numFmtId="9" fontId="0" fillId="0" borderId="15" xfId="0" applyNumberFormat="1" applyFont="1" applyBorder="1" applyAlignment="1">
      <alignment horizontal="center"/>
    </xf>
    <xf numFmtId="2" fontId="0" fillId="0" borderId="0" xfId="0" applyNumberFormat="1" applyFont="1" applyFill="1" applyAlignment="1">
      <alignment/>
    </xf>
    <xf numFmtId="43" fontId="81" fillId="0" borderId="0" xfId="42" applyFont="1" applyAlignment="1">
      <alignment/>
    </xf>
    <xf numFmtId="2" fontId="81" fillId="0" borderId="0" xfId="0" applyNumberFormat="1" applyFont="1" applyBorder="1" applyAlignment="1">
      <alignment/>
    </xf>
    <xf numFmtId="0" fontId="81" fillId="0" borderId="0" xfId="0" applyFont="1" applyBorder="1" applyAlignment="1">
      <alignment/>
    </xf>
    <xf numFmtId="9" fontId="81" fillId="0" borderId="0" xfId="60" applyFont="1" applyAlignment="1">
      <alignment/>
    </xf>
    <xf numFmtId="0" fontId="2" fillId="0" borderId="0" xfId="0" applyFont="1" applyBorder="1" applyAlignment="1">
      <alignment/>
    </xf>
    <xf numFmtId="43" fontId="0" fillId="0" borderId="0" xfId="42" applyFont="1" applyBorder="1" applyAlignment="1">
      <alignment/>
    </xf>
    <xf numFmtId="0" fontId="2" fillId="0" borderId="12" xfId="0" applyFont="1" applyBorder="1" applyAlignment="1">
      <alignment/>
    </xf>
    <xf numFmtId="164" fontId="0" fillId="0" borderId="15" xfId="42" applyNumberFormat="1" applyFont="1" applyBorder="1" applyAlignment="1">
      <alignment horizontal="right"/>
    </xf>
    <xf numFmtId="2" fontId="2" fillId="0" borderId="0" xfId="0" applyNumberFormat="1" applyFont="1" applyFill="1" applyAlignment="1">
      <alignment/>
    </xf>
    <xf numFmtId="2" fontId="2" fillId="34" borderId="22" xfId="0" applyNumberFormat="1" applyFont="1" applyFill="1" applyBorder="1" applyAlignment="1">
      <alignment/>
    </xf>
    <xf numFmtId="2" fontId="79" fillId="0" borderId="0" xfId="0" applyNumberFormat="1" applyFont="1" applyFill="1" applyAlignment="1">
      <alignment/>
    </xf>
    <xf numFmtId="2" fontId="0" fillId="0" borderId="12" xfId="0" applyNumberFormat="1" applyFont="1" applyFill="1" applyBorder="1" applyAlignment="1">
      <alignment/>
    </xf>
    <xf numFmtId="2" fontId="2" fillId="35" borderId="22" xfId="0" applyNumberFormat="1" applyFont="1" applyFill="1" applyBorder="1" applyAlignment="1">
      <alignment/>
    </xf>
    <xf numFmtId="2" fontId="2" fillId="17" borderId="22" xfId="0" applyNumberFormat="1" applyFont="1" applyFill="1" applyBorder="1" applyAlignment="1">
      <alignment/>
    </xf>
    <xf numFmtId="2" fontId="2" fillId="36" borderId="22" xfId="0" applyNumberFormat="1" applyFont="1" applyFill="1" applyBorder="1" applyAlignment="1">
      <alignment/>
    </xf>
    <xf numFmtId="2" fontId="0" fillId="0" borderId="0" xfId="0" applyNumberFormat="1" applyFont="1" applyFill="1" applyBorder="1" applyAlignment="1">
      <alignment/>
    </xf>
    <xf numFmtId="2" fontId="0" fillId="0" borderId="13" xfId="0" applyNumberFormat="1" applyFont="1" applyFill="1" applyBorder="1" applyAlignment="1">
      <alignment/>
    </xf>
    <xf numFmtId="43" fontId="0" fillId="0" borderId="19" xfId="42" applyNumberFormat="1" applyFont="1" applyBorder="1" applyAlignment="1">
      <alignment/>
    </xf>
    <xf numFmtId="164" fontId="0" fillId="0" borderId="12" xfId="42" applyNumberFormat="1" applyFont="1" applyBorder="1" applyAlignment="1">
      <alignment/>
    </xf>
    <xf numFmtId="0" fontId="0" fillId="0" borderId="23" xfId="0" applyBorder="1" applyAlignment="1">
      <alignment/>
    </xf>
    <xf numFmtId="43" fontId="0" fillId="0" borderId="12" xfId="0" applyNumberFormat="1" applyBorder="1" applyAlignment="1">
      <alignment/>
    </xf>
    <xf numFmtId="43" fontId="0" fillId="0" borderId="13" xfId="42" applyNumberFormat="1" applyFont="1" applyBorder="1" applyAlignment="1">
      <alignment/>
    </xf>
    <xf numFmtId="0" fontId="0" fillId="0" borderId="17" xfId="0" applyFont="1" applyBorder="1" applyAlignment="1">
      <alignment horizontal="left"/>
    </xf>
    <xf numFmtId="0" fontId="10" fillId="0" borderId="17" xfId="0" applyFont="1" applyBorder="1" applyAlignment="1">
      <alignment horizontal="left" indent="1"/>
    </xf>
    <xf numFmtId="43" fontId="0" fillId="0" borderId="0" xfId="0" applyNumberFormat="1" applyFont="1" applyBorder="1" applyAlignment="1">
      <alignment/>
    </xf>
    <xf numFmtId="0" fontId="0" fillId="0" borderId="15" xfId="0" applyFont="1" applyBorder="1" applyAlignment="1">
      <alignment horizontal="center" vertical="center"/>
    </xf>
    <xf numFmtId="166" fontId="0" fillId="0" borderId="0" xfId="42" applyNumberFormat="1" applyFont="1" applyAlignment="1">
      <alignment/>
    </xf>
    <xf numFmtId="0" fontId="10" fillId="0" borderId="0" xfId="0" applyFont="1" applyFill="1" applyBorder="1" applyAlignment="1">
      <alignment horizontal="left" indent="1"/>
    </xf>
    <xf numFmtId="3" fontId="12" fillId="0" borderId="0" xfId="0" applyNumberFormat="1" applyFont="1" applyFill="1" applyAlignment="1">
      <alignment vertical="top" wrapText="1"/>
    </xf>
    <xf numFmtId="0" fontId="0" fillId="0" borderId="15" xfId="0" applyFont="1" applyBorder="1" applyAlignment="1">
      <alignment horizontal="center" vertical="center" wrapText="1"/>
    </xf>
    <xf numFmtId="0" fontId="0" fillId="0" borderId="15" xfId="0" applyFont="1" applyFill="1" applyBorder="1" applyAlignment="1">
      <alignment horizontal="center" wrapText="1"/>
    </xf>
    <xf numFmtId="37" fontId="0" fillId="0" borderId="0" xfId="0" applyNumberFormat="1" applyFill="1" applyBorder="1" applyAlignment="1">
      <alignment/>
    </xf>
    <xf numFmtId="164" fontId="0" fillId="0" borderId="0" xfId="42" applyNumberFormat="1" applyFont="1" applyAlignment="1">
      <alignment horizontal="right"/>
    </xf>
    <xf numFmtId="43" fontId="0" fillId="0" borderId="0" xfId="42" applyFont="1" applyAlignment="1">
      <alignment/>
    </xf>
    <xf numFmtId="0" fontId="0" fillId="0" borderId="23" xfId="0" applyFont="1" applyBorder="1" applyAlignment="1">
      <alignment horizontal="center"/>
    </xf>
    <xf numFmtId="170" fontId="0" fillId="0" borderId="0" xfId="0" applyNumberFormat="1" applyBorder="1" applyAlignment="1">
      <alignment/>
    </xf>
    <xf numFmtId="43" fontId="0" fillId="0" borderId="0" xfId="42" applyFont="1" applyBorder="1" applyAlignment="1">
      <alignment/>
    </xf>
    <xf numFmtId="3" fontId="0" fillId="0" borderId="0" xfId="0" applyNumberFormat="1" applyFont="1" applyFill="1" applyAlignment="1">
      <alignment horizontal="left"/>
    </xf>
    <xf numFmtId="164" fontId="0" fillId="0" borderId="12" xfId="0" applyNumberFormat="1" applyBorder="1" applyAlignment="1">
      <alignment/>
    </xf>
    <xf numFmtId="164" fontId="0" fillId="0" borderId="19" xfId="42" applyNumberFormat="1" applyFont="1" applyBorder="1" applyAlignment="1">
      <alignment/>
    </xf>
    <xf numFmtId="0" fontId="10" fillId="0" borderId="0" xfId="0" applyNumberFormat="1" applyFont="1" applyFill="1" applyAlignment="1">
      <alignment/>
    </xf>
    <xf numFmtId="193" fontId="0" fillId="0" borderId="0" xfId="42" applyNumberFormat="1" applyFont="1" applyAlignment="1">
      <alignment/>
    </xf>
    <xf numFmtId="168" fontId="0" fillId="0" borderId="0" xfId="42" applyNumberFormat="1" applyFont="1" applyAlignment="1">
      <alignment/>
    </xf>
    <xf numFmtId="165" fontId="0" fillId="0" borderId="0" xfId="60" applyNumberFormat="1" applyFont="1" applyAlignment="1">
      <alignment/>
    </xf>
    <xf numFmtId="9" fontId="0" fillId="0" borderId="0" xfId="0" applyNumberFormat="1" applyFont="1" applyAlignment="1">
      <alignment horizontal="left"/>
    </xf>
    <xf numFmtId="9" fontId="0" fillId="0" borderId="0" xfId="0" applyNumberFormat="1" applyFont="1" applyAlignment="1">
      <alignment/>
    </xf>
    <xf numFmtId="0" fontId="80" fillId="0" borderId="0" xfId="0" applyFont="1" applyFill="1" applyAlignment="1">
      <alignment/>
    </xf>
    <xf numFmtId="2" fontId="0" fillId="0" borderId="19" xfId="0" applyNumberFormat="1" applyBorder="1" applyAlignment="1">
      <alignment/>
    </xf>
    <xf numFmtId="2" fontId="0" fillId="0" borderId="13" xfId="0" applyNumberFormat="1" applyBorder="1" applyAlignment="1">
      <alignment/>
    </xf>
    <xf numFmtId="0" fontId="0" fillId="0" borderId="0" xfId="0" applyFill="1" applyAlignment="1">
      <alignment horizontal="right"/>
    </xf>
    <xf numFmtId="43" fontId="0" fillId="0" borderId="0" xfId="0" applyNumberFormat="1" applyFill="1" applyAlignment="1">
      <alignment horizontal="right"/>
    </xf>
    <xf numFmtId="171" fontId="0" fillId="0" borderId="0" xfId="0" applyNumberFormat="1" applyFill="1" applyAlignment="1">
      <alignment horizontal="right"/>
    </xf>
    <xf numFmtId="170" fontId="1" fillId="0" borderId="0" xfId="0" applyNumberFormat="1" applyFont="1" applyBorder="1" applyAlignment="1">
      <alignment/>
    </xf>
    <xf numFmtId="176" fontId="0" fillId="0" borderId="0" xfId="0" applyNumberFormat="1" applyAlignment="1">
      <alignment/>
    </xf>
    <xf numFmtId="2" fontId="0" fillId="0" borderId="0" xfId="0" applyNumberFormat="1" applyFill="1" applyAlignment="1">
      <alignment/>
    </xf>
    <xf numFmtId="164" fontId="0" fillId="0" borderId="11" xfId="42" applyNumberFormat="1" applyFont="1" applyFill="1" applyBorder="1" applyAlignment="1">
      <alignment/>
    </xf>
    <xf numFmtId="164" fontId="0" fillId="0" borderId="0" xfId="0" applyNumberFormat="1" applyFill="1" applyAlignment="1">
      <alignment/>
    </xf>
    <xf numFmtId="3" fontId="0" fillId="0" borderId="0" xfId="0" applyNumberFormat="1" applyFont="1" applyFill="1" applyBorder="1" applyAlignment="1">
      <alignment/>
    </xf>
    <xf numFmtId="164" fontId="0" fillId="0" borderId="12" xfId="42" applyNumberFormat="1" applyFont="1" applyFill="1" applyBorder="1" applyAlignment="1">
      <alignment/>
    </xf>
    <xf numFmtId="164" fontId="0" fillId="0" borderId="18" xfId="42" applyNumberFormat="1" applyFont="1" applyBorder="1" applyAlignment="1">
      <alignment/>
    </xf>
    <xf numFmtId="0" fontId="0" fillId="0" borderId="19" xfId="0" applyBorder="1" applyAlignment="1">
      <alignment/>
    </xf>
    <xf numFmtId="0" fontId="1" fillId="0" borderId="0" xfId="0" applyFont="1" applyBorder="1" applyAlignment="1">
      <alignment horizontal="center" vertical="center" wrapText="1"/>
    </xf>
    <xf numFmtId="0" fontId="13" fillId="0" borderId="0" xfId="0" applyFont="1" applyAlignment="1">
      <alignment/>
    </xf>
    <xf numFmtId="43" fontId="0" fillId="34" borderId="14" xfId="0" applyNumberFormat="1" applyFill="1" applyBorder="1" applyAlignment="1">
      <alignment/>
    </xf>
    <xf numFmtId="0" fontId="0" fillId="34" borderId="14" xfId="0" applyFill="1" applyBorder="1" applyAlignment="1">
      <alignment/>
    </xf>
    <xf numFmtId="9" fontId="0" fillId="34" borderId="14" xfId="60" applyFont="1" applyFill="1" applyBorder="1" applyAlignment="1">
      <alignment/>
    </xf>
    <xf numFmtId="167" fontId="0" fillId="34" borderId="14" xfId="0" applyNumberFormat="1" applyFill="1" applyBorder="1" applyAlignment="1">
      <alignment/>
    </xf>
    <xf numFmtId="43" fontId="0" fillId="34" borderId="14" xfId="42" applyFont="1" applyFill="1" applyBorder="1" applyAlignment="1">
      <alignment/>
    </xf>
    <xf numFmtId="167" fontId="0" fillId="0" borderId="0" xfId="0" applyNumberFormat="1" applyAlignment="1">
      <alignment/>
    </xf>
    <xf numFmtId="2" fontId="2" fillId="0" borderId="12" xfId="0" applyNumberFormat="1" applyFont="1" applyFill="1" applyBorder="1" applyAlignment="1">
      <alignment/>
    </xf>
    <xf numFmtId="43" fontId="0" fillId="0" borderId="12" xfId="42" applyFont="1" applyBorder="1" applyAlignment="1">
      <alignment/>
    </xf>
    <xf numFmtId="9" fontId="0" fillId="0" borderId="12" xfId="60" applyFont="1" applyBorder="1" applyAlignment="1">
      <alignment/>
    </xf>
    <xf numFmtId="2" fontId="2" fillId="37" borderId="22" xfId="0" applyNumberFormat="1" applyFont="1" applyFill="1" applyBorder="1" applyAlignment="1">
      <alignment/>
    </xf>
    <xf numFmtId="43" fontId="0" fillId="37" borderId="14" xfId="42" applyFont="1" applyFill="1" applyBorder="1" applyAlignment="1">
      <alignment/>
    </xf>
    <xf numFmtId="9" fontId="0" fillId="37" borderId="14" xfId="60" applyFont="1" applyFill="1" applyBorder="1" applyAlignment="1">
      <alignment/>
    </xf>
    <xf numFmtId="0" fontId="0" fillId="37" borderId="0" xfId="0" applyFill="1" applyAlignment="1">
      <alignment/>
    </xf>
    <xf numFmtId="43" fontId="0" fillId="35" borderId="14" xfId="42" applyFont="1" applyFill="1" applyBorder="1" applyAlignment="1">
      <alignment/>
    </xf>
    <xf numFmtId="9" fontId="0" fillId="35" borderId="14" xfId="60" applyFont="1" applyFill="1" applyBorder="1" applyAlignment="1">
      <alignment/>
    </xf>
    <xf numFmtId="0" fontId="0" fillId="35" borderId="0" xfId="0" applyFill="1" applyAlignment="1">
      <alignment/>
    </xf>
    <xf numFmtId="2" fontId="2" fillId="0" borderId="0" xfId="0" applyNumberFormat="1" applyFont="1" applyFill="1" applyBorder="1" applyAlignment="1">
      <alignment/>
    </xf>
    <xf numFmtId="43" fontId="0" fillId="17" borderId="14" xfId="42" applyFont="1" applyFill="1" applyBorder="1" applyAlignment="1">
      <alignment/>
    </xf>
    <xf numFmtId="9" fontId="0" fillId="17" borderId="14" xfId="60" applyFont="1" applyFill="1" applyBorder="1" applyAlignment="1">
      <alignment/>
    </xf>
    <xf numFmtId="43" fontId="0" fillId="36" borderId="14" xfId="42" applyFont="1" applyFill="1" applyBorder="1" applyAlignment="1">
      <alignment/>
    </xf>
    <xf numFmtId="9" fontId="0" fillId="36" borderId="14" xfId="60" applyFont="1" applyFill="1" applyBorder="1" applyAlignment="1">
      <alignment/>
    </xf>
    <xf numFmtId="0" fontId="0" fillId="36" borderId="14" xfId="0" applyFill="1" applyBorder="1" applyAlignment="1">
      <alignment/>
    </xf>
    <xf numFmtId="43" fontId="0" fillId="0" borderId="0" xfId="42" applyFont="1" applyFill="1" applyAlignment="1">
      <alignment/>
    </xf>
    <xf numFmtId="9" fontId="0" fillId="0" borderId="0" xfId="60" applyFont="1" applyFill="1" applyBorder="1" applyAlignment="1">
      <alignment/>
    </xf>
    <xf numFmtId="2" fontId="0" fillId="0" borderId="24" xfId="0" applyNumberFormat="1" applyFont="1" applyFill="1" applyBorder="1" applyAlignment="1">
      <alignment/>
    </xf>
    <xf numFmtId="43" fontId="0" fillId="0" borderId="25" xfId="42" applyFont="1" applyBorder="1" applyAlignment="1">
      <alignment/>
    </xf>
    <xf numFmtId="0" fontId="0" fillId="0" borderId="25" xfId="0" applyBorder="1" applyAlignment="1">
      <alignment/>
    </xf>
    <xf numFmtId="0" fontId="0" fillId="0" borderId="26" xfId="0" applyBorder="1" applyAlignment="1">
      <alignment/>
    </xf>
    <xf numFmtId="2" fontId="81" fillId="0" borderId="0" xfId="0" applyNumberFormat="1" applyFont="1" applyFill="1" applyAlignment="1">
      <alignment/>
    </xf>
    <xf numFmtId="170" fontId="81" fillId="0" borderId="0" xfId="0" applyNumberFormat="1" applyFont="1" applyBorder="1" applyAlignment="1">
      <alignment/>
    </xf>
    <xf numFmtId="2" fontId="81" fillId="0" borderId="0" xfId="0" applyNumberFormat="1" applyFont="1" applyBorder="1" applyAlignment="1">
      <alignment/>
    </xf>
    <xf numFmtId="1" fontId="1" fillId="0" borderId="0" xfId="0" applyNumberFormat="1" applyFont="1" applyBorder="1" applyAlignment="1">
      <alignment horizontal="center" vertical="center" wrapText="1"/>
    </xf>
    <xf numFmtId="9" fontId="0" fillId="0" borderId="12" xfId="60" applyNumberFormat="1" applyFont="1" applyBorder="1" applyAlignment="1">
      <alignment/>
    </xf>
    <xf numFmtId="43" fontId="0" fillId="0" borderId="12" xfId="42" applyFont="1" applyFill="1" applyBorder="1" applyAlignment="1">
      <alignment/>
    </xf>
    <xf numFmtId="0" fontId="0" fillId="0" borderId="12" xfId="42" applyNumberFormat="1" applyFont="1" applyFill="1" applyBorder="1" applyAlignment="1">
      <alignment/>
    </xf>
    <xf numFmtId="0" fontId="82" fillId="0" borderId="0" xfId="0" applyFont="1" applyAlignment="1">
      <alignment/>
    </xf>
    <xf numFmtId="0" fontId="81" fillId="0" borderId="12" xfId="0" applyFont="1" applyBorder="1" applyAlignment="1">
      <alignment/>
    </xf>
    <xf numFmtId="1" fontId="81" fillId="0" borderId="0" xfId="0" applyNumberFormat="1" applyFont="1" applyFill="1" applyBorder="1" applyAlignment="1">
      <alignment horizontal="left"/>
    </xf>
    <xf numFmtId="0" fontId="82" fillId="0" borderId="0" xfId="0" applyFont="1" applyBorder="1" applyAlignment="1">
      <alignment/>
    </xf>
    <xf numFmtId="0" fontId="0" fillId="0" borderId="19" xfId="0" applyFont="1" applyBorder="1" applyAlignment="1">
      <alignment horizontal="left" indent="1"/>
    </xf>
    <xf numFmtId="0" fontId="0" fillId="0" borderId="13" xfId="0" applyFont="1" applyBorder="1" applyAlignment="1">
      <alignment horizontal="left" indent="1"/>
    </xf>
    <xf numFmtId="0" fontId="0" fillId="0" borderId="23" xfId="0" applyBorder="1" applyAlignment="1">
      <alignment horizontal="center"/>
    </xf>
    <xf numFmtId="0" fontId="0" fillId="0" borderId="15" xfId="0" applyBorder="1" applyAlignment="1">
      <alignment vertical="center" wrapText="1"/>
    </xf>
    <xf numFmtId="0" fontId="0" fillId="0" borderId="15" xfId="0" applyBorder="1" applyAlignment="1">
      <alignment horizontal="center" vertical="center" wrapText="1"/>
    </xf>
    <xf numFmtId="0" fontId="0" fillId="0" borderId="22" xfId="0" applyFont="1" applyBorder="1" applyAlignment="1">
      <alignment horizontal="center" vertical="center" wrapText="1"/>
    </xf>
    <xf numFmtId="165" fontId="0" fillId="0" borderId="0" xfId="60" applyNumberFormat="1" applyFont="1" applyBorder="1" applyAlignment="1">
      <alignment/>
    </xf>
    <xf numFmtId="43" fontId="0" fillId="0" borderId="19" xfId="42" applyFont="1" applyBorder="1" applyAlignment="1">
      <alignment horizontal="left" vertical="center"/>
    </xf>
    <xf numFmtId="9" fontId="0" fillId="0" borderId="12" xfId="60" applyFont="1" applyBorder="1" applyAlignment="1">
      <alignment horizontal="center" vertical="center"/>
    </xf>
    <xf numFmtId="43" fontId="0" fillId="0" borderId="19" xfId="42" applyNumberFormat="1" applyFont="1" applyBorder="1" applyAlignment="1">
      <alignment vertical="center"/>
    </xf>
    <xf numFmtId="43" fontId="0" fillId="0" borderId="12" xfId="0" applyNumberFormat="1" applyBorder="1" applyAlignment="1">
      <alignment vertical="center"/>
    </xf>
    <xf numFmtId="9" fontId="0" fillId="0" borderId="12" xfId="60" applyFont="1" applyBorder="1" applyAlignment="1">
      <alignment vertical="center"/>
    </xf>
    <xf numFmtId="164" fontId="0" fillId="0" borderId="12" xfId="42" applyNumberFormat="1" applyFont="1" applyBorder="1" applyAlignment="1">
      <alignment vertical="center"/>
    </xf>
    <xf numFmtId="1" fontId="0" fillId="0" borderId="18" xfId="0" applyNumberFormat="1" applyBorder="1" applyAlignment="1">
      <alignment vertical="center"/>
    </xf>
    <xf numFmtId="43" fontId="0" fillId="0" borderId="13" xfId="42" applyFont="1" applyBorder="1" applyAlignment="1">
      <alignment horizontal="left" vertical="center"/>
    </xf>
    <xf numFmtId="9" fontId="0" fillId="0" borderId="0" xfId="60" applyFont="1" applyBorder="1" applyAlignment="1">
      <alignment horizontal="center" vertical="center"/>
    </xf>
    <xf numFmtId="43" fontId="0" fillId="0" borderId="13" xfId="42" applyNumberFormat="1" applyFont="1" applyBorder="1" applyAlignment="1">
      <alignment vertical="center"/>
    </xf>
    <xf numFmtId="43" fontId="0" fillId="0" borderId="0" xfId="0" applyNumberFormat="1" applyBorder="1" applyAlignment="1">
      <alignment vertical="center"/>
    </xf>
    <xf numFmtId="9" fontId="0" fillId="0" borderId="0" xfId="60" applyFont="1" applyBorder="1" applyAlignment="1">
      <alignment vertical="center"/>
    </xf>
    <xf numFmtId="164" fontId="0" fillId="0" borderId="0" xfId="42" applyNumberFormat="1" applyFont="1" applyBorder="1" applyAlignment="1">
      <alignment vertical="center"/>
    </xf>
    <xf numFmtId="1" fontId="0" fillId="0" borderId="16" xfId="0" applyNumberFormat="1" applyBorder="1" applyAlignment="1">
      <alignment vertical="center"/>
    </xf>
    <xf numFmtId="43" fontId="0" fillId="0" borderId="13" xfId="0" applyNumberFormat="1" applyFont="1" applyFill="1" applyBorder="1" applyAlignment="1">
      <alignment vertical="center"/>
    </xf>
    <xf numFmtId="43" fontId="0" fillId="0" borderId="27" xfId="42" applyFont="1" applyBorder="1" applyAlignment="1">
      <alignment horizontal="left" vertical="center"/>
    </xf>
    <xf numFmtId="9" fontId="0" fillId="0" borderId="11" xfId="60" applyFont="1" applyBorder="1" applyAlignment="1">
      <alignment vertical="center"/>
    </xf>
    <xf numFmtId="0" fontId="0" fillId="0" borderId="13" xfId="0" applyFont="1" applyBorder="1" applyAlignment="1">
      <alignment horizontal="left" vertical="center"/>
    </xf>
    <xf numFmtId="0" fontId="0" fillId="0" borderId="16" xfId="0" applyFont="1" applyBorder="1" applyAlignment="1">
      <alignment horizontal="left" vertical="center"/>
    </xf>
    <xf numFmtId="0" fontId="0" fillId="0" borderId="0" xfId="0" applyAlignment="1">
      <alignment vertical="center"/>
    </xf>
    <xf numFmtId="43" fontId="0" fillId="0" borderId="0" xfId="42" applyNumberFormat="1" applyFont="1" applyBorder="1" applyAlignment="1">
      <alignment vertical="center"/>
    </xf>
    <xf numFmtId="164" fontId="0" fillId="0" borderId="16" xfId="42" applyNumberFormat="1" applyFont="1" applyBorder="1" applyAlignment="1">
      <alignment vertical="center"/>
    </xf>
    <xf numFmtId="43" fontId="10" fillId="0" borderId="13" xfId="42" applyFont="1" applyBorder="1" applyAlignment="1">
      <alignment horizontal="left" vertical="center"/>
    </xf>
    <xf numFmtId="9" fontId="0" fillId="0" borderId="16" xfId="60" applyFont="1" applyBorder="1" applyAlignment="1">
      <alignment horizontal="center" vertical="center"/>
    </xf>
    <xf numFmtId="43" fontId="0" fillId="0" borderId="0" xfId="42" applyFont="1" applyBorder="1" applyAlignment="1">
      <alignment vertical="center"/>
    </xf>
    <xf numFmtId="9" fontId="10" fillId="0" borderId="16" xfId="60" applyFont="1" applyBorder="1" applyAlignment="1">
      <alignment horizontal="center" vertical="center"/>
    </xf>
    <xf numFmtId="0" fontId="0" fillId="0" borderId="0" xfId="0" applyFont="1" applyBorder="1" applyAlignment="1">
      <alignment vertical="center"/>
    </xf>
    <xf numFmtId="43" fontId="0" fillId="0" borderId="0" xfId="42" applyFont="1" applyBorder="1" applyAlignment="1">
      <alignment/>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9" fontId="0" fillId="0" borderId="0" xfId="60" applyFont="1" applyFill="1" applyBorder="1" applyAlignment="1">
      <alignment horizontal="center"/>
    </xf>
    <xf numFmtId="0" fontId="2" fillId="0" borderId="22" xfId="0" applyFont="1" applyBorder="1" applyAlignment="1">
      <alignment/>
    </xf>
    <xf numFmtId="166" fontId="0" fillId="0" borderId="14" xfId="42" applyNumberFormat="1" applyFont="1" applyBorder="1" applyAlignment="1">
      <alignment/>
    </xf>
    <xf numFmtId="9" fontId="0" fillId="0" borderId="14" xfId="60" applyFont="1" applyBorder="1" applyAlignment="1">
      <alignment/>
    </xf>
    <xf numFmtId="165" fontId="0" fillId="0" borderId="20" xfId="60" applyNumberFormat="1" applyFont="1" applyBorder="1" applyAlignment="1">
      <alignment/>
    </xf>
    <xf numFmtId="166" fontId="0" fillId="0" borderId="0" xfId="42" applyNumberFormat="1" applyFont="1" applyBorder="1" applyAlignment="1">
      <alignment/>
    </xf>
    <xf numFmtId="0" fontId="0" fillId="0" borderId="0" xfId="0" applyFont="1" applyAlignment="1">
      <alignment horizontal="left" indent="2"/>
    </xf>
    <xf numFmtId="9" fontId="0" fillId="0" borderId="0" xfId="0" applyNumberFormat="1" applyFont="1" applyAlignment="1">
      <alignment horizontal="left" indent="2"/>
    </xf>
    <xf numFmtId="0" fontId="2" fillId="0" borderId="22" xfId="0" applyFont="1" applyFill="1" applyBorder="1" applyAlignment="1">
      <alignment/>
    </xf>
    <xf numFmtId="166" fontId="0" fillId="0" borderId="14" xfId="42" applyNumberFormat="1" applyFont="1" applyFill="1" applyBorder="1" applyAlignment="1">
      <alignment/>
    </xf>
    <xf numFmtId="9" fontId="0" fillId="0" borderId="14" xfId="60" applyFont="1" applyFill="1" applyBorder="1" applyAlignment="1">
      <alignment/>
    </xf>
    <xf numFmtId="0" fontId="0" fillId="0" borderId="0" xfId="0" applyFont="1" applyFill="1" applyAlignment="1">
      <alignment horizontal="left" indent="1"/>
    </xf>
    <xf numFmtId="9" fontId="0" fillId="0" borderId="0" xfId="60" applyFont="1" applyFill="1" applyAlignment="1">
      <alignment/>
    </xf>
    <xf numFmtId="165" fontId="0" fillId="0" borderId="0" xfId="60" applyNumberFormat="1" applyFont="1" applyFill="1" applyAlignment="1">
      <alignment/>
    </xf>
    <xf numFmtId="0" fontId="2" fillId="0" borderId="22" xfId="0" applyFont="1" applyFill="1" applyBorder="1" applyAlignment="1">
      <alignment horizontal="left"/>
    </xf>
    <xf numFmtId="166" fontId="0" fillId="0" borderId="0" xfId="42" applyNumberFormat="1" applyFont="1" applyFill="1" applyBorder="1" applyAlignment="1">
      <alignment/>
    </xf>
    <xf numFmtId="0" fontId="2" fillId="0" borderId="24" xfId="0" applyFont="1" applyBorder="1" applyAlignment="1">
      <alignment/>
    </xf>
    <xf numFmtId="166" fontId="2" fillId="0" borderId="25" xfId="42" applyNumberFormat="1" applyFont="1" applyBorder="1" applyAlignment="1">
      <alignment/>
    </xf>
    <xf numFmtId="9" fontId="2" fillId="0" borderId="25" xfId="60" applyFont="1" applyBorder="1" applyAlignment="1">
      <alignment/>
    </xf>
    <xf numFmtId="170" fontId="0"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43" fontId="0" fillId="0" borderId="0" xfId="42" applyFont="1" applyFill="1" applyBorder="1" applyAlignment="1">
      <alignment horizontal="center" vertical="center" wrapText="1"/>
    </xf>
    <xf numFmtId="43" fontId="0" fillId="0" borderId="12" xfId="42" applyFont="1" applyFill="1" applyBorder="1" applyAlignment="1">
      <alignment/>
    </xf>
    <xf numFmtId="9" fontId="0" fillId="0" borderId="12" xfId="60" applyFont="1" applyFill="1" applyBorder="1" applyAlignment="1">
      <alignment/>
    </xf>
    <xf numFmtId="166" fontId="0" fillId="0" borderId="12" xfId="42" applyNumberFormat="1" applyFont="1" applyFill="1" applyBorder="1" applyAlignment="1">
      <alignment/>
    </xf>
    <xf numFmtId="43" fontId="0" fillId="0" borderId="0" xfId="42" applyFont="1" applyFill="1" applyAlignment="1">
      <alignment/>
    </xf>
    <xf numFmtId="0" fontId="0" fillId="0" borderId="24" xfId="0" applyFont="1" applyFill="1" applyBorder="1" applyAlignment="1">
      <alignment/>
    </xf>
    <xf numFmtId="43" fontId="0" fillId="0" borderId="25" xfId="42" applyFont="1" applyFill="1" applyBorder="1" applyAlignment="1">
      <alignment/>
    </xf>
    <xf numFmtId="9" fontId="0" fillId="0" borderId="25" xfId="60" applyFont="1" applyFill="1" applyBorder="1" applyAlignment="1">
      <alignment/>
    </xf>
    <xf numFmtId="43" fontId="0" fillId="0" borderId="26" xfId="42" applyFont="1" applyFill="1" applyBorder="1" applyAlignment="1">
      <alignment/>
    </xf>
    <xf numFmtId="0" fontId="0" fillId="0" borderId="25" xfId="0" applyFont="1" applyFill="1" applyBorder="1" applyAlignment="1">
      <alignment/>
    </xf>
    <xf numFmtId="166" fontId="0" fillId="0" borderId="0" xfId="42" applyNumberFormat="1" applyFont="1" applyFill="1" applyAlignment="1">
      <alignment vertical="center"/>
    </xf>
    <xf numFmtId="43" fontId="0" fillId="0" borderId="0" xfId="42" applyFont="1" applyFill="1" applyAlignment="1">
      <alignment vertical="center"/>
    </xf>
    <xf numFmtId="9" fontId="0" fillId="0" borderId="0" xfId="60" applyFont="1" applyFill="1" applyAlignment="1">
      <alignment vertical="center"/>
    </xf>
    <xf numFmtId="164" fontId="0" fillId="0" borderId="0" xfId="42" applyNumberFormat="1" applyFont="1" applyFill="1" applyAlignment="1">
      <alignment vertical="center"/>
    </xf>
    <xf numFmtId="166" fontId="0" fillId="0" borderId="25" xfId="42" applyNumberFormat="1" applyFont="1" applyFill="1" applyBorder="1" applyAlignment="1">
      <alignment/>
    </xf>
    <xf numFmtId="164" fontId="0" fillId="0" borderId="25" xfId="42" applyNumberFormat="1" applyFont="1" applyFill="1" applyBorder="1" applyAlignment="1">
      <alignment/>
    </xf>
    <xf numFmtId="166" fontId="0" fillId="0" borderId="26" xfId="42" applyNumberFormat="1" applyFont="1" applyFill="1" applyBorder="1" applyAlignment="1">
      <alignment/>
    </xf>
    <xf numFmtId="164" fontId="0" fillId="0" borderId="23" xfId="42" applyNumberFormat="1" applyFont="1" applyBorder="1" applyAlignment="1">
      <alignment/>
    </xf>
    <xf numFmtId="164" fontId="0" fillId="0" borderId="18" xfId="0" applyNumberFormat="1" applyFont="1" applyBorder="1" applyAlignment="1">
      <alignment/>
    </xf>
    <xf numFmtId="164" fontId="0" fillId="0" borderId="17" xfId="42" applyNumberFormat="1" applyFont="1" applyBorder="1" applyAlignment="1">
      <alignment/>
    </xf>
    <xf numFmtId="43" fontId="0" fillId="0" borderId="19" xfId="42" applyNumberFormat="1" applyFont="1" applyBorder="1" applyAlignment="1">
      <alignment/>
    </xf>
    <xf numFmtId="43" fontId="0" fillId="0" borderId="12" xfId="42" applyNumberFormat="1" applyFont="1" applyBorder="1" applyAlignment="1">
      <alignment/>
    </xf>
    <xf numFmtId="164" fontId="0" fillId="0" borderId="12" xfId="0" applyNumberFormat="1" applyFont="1" applyBorder="1" applyAlignment="1">
      <alignment/>
    </xf>
    <xf numFmtId="43" fontId="0" fillId="0" borderId="0" xfId="42" applyNumberFormat="1" applyFont="1" applyFill="1" applyBorder="1" applyAlignment="1">
      <alignment/>
    </xf>
    <xf numFmtId="1" fontId="0" fillId="0" borderId="11" xfId="0" applyNumberFormat="1" applyFont="1" applyBorder="1" applyAlignment="1">
      <alignment/>
    </xf>
    <xf numFmtId="2" fontId="0" fillId="0" borderId="13" xfId="0" applyNumberFormat="1" applyFont="1" applyFill="1" applyBorder="1" applyAlignment="1">
      <alignment horizontal="right"/>
    </xf>
    <xf numFmtId="2" fontId="0" fillId="0" borderId="19" xfId="0" applyNumberFormat="1" applyFont="1" applyFill="1" applyBorder="1" applyAlignment="1">
      <alignment/>
    </xf>
    <xf numFmtId="164" fontId="0" fillId="0" borderId="13" xfId="42" applyNumberFormat="1" applyFont="1" applyFill="1" applyBorder="1" applyAlignment="1">
      <alignment/>
    </xf>
    <xf numFmtId="1" fontId="0" fillId="0" borderId="12" xfId="0" applyNumberFormat="1" applyBorder="1" applyAlignment="1">
      <alignment/>
    </xf>
    <xf numFmtId="0" fontId="0" fillId="0" borderId="13" xfId="0" applyFont="1" applyBorder="1" applyAlignment="1">
      <alignment vertical="center"/>
    </xf>
    <xf numFmtId="2" fontId="0" fillId="0" borderId="13" xfId="0" applyNumberFormat="1" applyFont="1" applyBorder="1" applyAlignment="1">
      <alignment vertical="center"/>
    </xf>
    <xf numFmtId="164" fontId="0" fillId="0" borderId="19" xfId="42" applyNumberFormat="1" applyFont="1" applyBorder="1" applyAlignment="1">
      <alignment vertical="center"/>
    </xf>
    <xf numFmtId="164" fontId="0" fillId="0" borderId="13" xfId="42" applyNumberFormat="1" applyFont="1" applyBorder="1" applyAlignment="1">
      <alignment vertical="center"/>
    </xf>
    <xf numFmtId="43" fontId="0" fillId="0" borderId="13" xfId="0" applyNumberFormat="1" applyBorder="1" applyAlignment="1">
      <alignment vertical="center"/>
    </xf>
    <xf numFmtId="164" fontId="0" fillId="0" borderId="19" xfId="42" applyNumberFormat="1" applyFont="1" applyBorder="1" applyAlignment="1">
      <alignment vertical="center"/>
    </xf>
    <xf numFmtId="164" fontId="0" fillId="0" borderId="13" xfId="42" applyNumberFormat="1" applyFont="1" applyBorder="1" applyAlignment="1">
      <alignment vertical="center"/>
    </xf>
    <xf numFmtId="0" fontId="0" fillId="0" borderId="15" xfId="0" applyFont="1" applyFill="1" applyBorder="1" applyAlignment="1">
      <alignment horizontal="center" vertical="center" wrapText="1"/>
    </xf>
    <xf numFmtId="1" fontId="0" fillId="0" borderId="13" xfId="0" applyNumberFormat="1" applyFill="1" applyBorder="1" applyAlignment="1">
      <alignment/>
    </xf>
    <xf numFmtId="3" fontId="0" fillId="0" borderId="19" xfId="0" applyNumberFormat="1" applyFill="1" applyBorder="1" applyAlignment="1">
      <alignment/>
    </xf>
    <xf numFmtId="3" fontId="0" fillId="0" borderId="13" xfId="0" applyNumberFormat="1" applyFill="1" applyBorder="1" applyAlignment="1">
      <alignment/>
    </xf>
    <xf numFmtId="0" fontId="0" fillId="0" borderId="15" xfId="0" applyFill="1" applyBorder="1" applyAlignment="1">
      <alignment horizontal="center" vertical="center"/>
    </xf>
    <xf numFmtId="0" fontId="0" fillId="0" borderId="15" xfId="0" applyFont="1" applyFill="1" applyBorder="1" applyAlignment="1">
      <alignment horizontal="center" vertical="center"/>
    </xf>
    <xf numFmtId="9" fontId="0" fillId="0" borderId="18" xfId="60" applyFont="1" applyBorder="1" applyAlignment="1">
      <alignment horizontal="center" vertical="center"/>
    </xf>
    <xf numFmtId="9" fontId="0" fillId="0" borderId="16" xfId="60" applyFont="1" applyBorder="1" applyAlignment="1">
      <alignment horizontal="center" vertical="center"/>
    </xf>
    <xf numFmtId="9" fontId="0" fillId="0" borderId="28" xfId="60" applyFont="1" applyBorder="1" applyAlignment="1">
      <alignment horizontal="center" vertical="center"/>
    </xf>
    <xf numFmtId="1" fontId="0" fillId="0" borderId="27" xfId="0" applyNumberFormat="1" applyFill="1" applyBorder="1" applyAlignment="1">
      <alignment/>
    </xf>
    <xf numFmtId="3" fontId="0" fillId="0" borderId="27" xfId="0" applyNumberFormat="1" applyFill="1" applyBorder="1" applyAlignment="1">
      <alignment/>
    </xf>
    <xf numFmtId="0" fontId="0" fillId="0" borderId="24" xfId="0" applyBorder="1" applyAlignment="1">
      <alignment/>
    </xf>
    <xf numFmtId="0" fontId="0" fillId="0" borderId="25" xfId="0" applyFill="1" applyBorder="1" applyAlignment="1">
      <alignment/>
    </xf>
    <xf numFmtId="3" fontId="0" fillId="0" borderId="25" xfId="0" applyNumberFormat="1" applyFill="1" applyBorder="1" applyAlignment="1">
      <alignment/>
    </xf>
    <xf numFmtId="0" fontId="10" fillId="0" borderId="12" xfId="0" applyFont="1" applyFill="1" applyBorder="1" applyAlignment="1">
      <alignment horizontal="center"/>
    </xf>
    <xf numFmtId="170" fontId="0" fillId="0" borderId="19" xfId="0" applyNumberFormat="1" applyFont="1" applyFill="1" applyBorder="1" applyAlignment="1">
      <alignment horizontal="right"/>
    </xf>
    <xf numFmtId="170" fontId="0" fillId="0" borderId="13" xfId="0" applyNumberFormat="1" applyFont="1" applyFill="1" applyBorder="1" applyAlignment="1">
      <alignment horizontal="right"/>
    </xf>
    <xf numFmtId="170" fontId="0" fillId="0" borderId="27" xfId="0" applyNumberFormat="1" applyFont="1" applyFill="1" applyBorder="1" applyAlignment="1">
      <alignment horizontal="right"/>
    </xf>
    <xf numFmtId="4" fontId="0" fillId="0" borderId="0" xfId="0" applyNumberFormat="1" applyFill="1" applyBorder="1" applyAlignment="1">
      <alignment/>
    </xf>
    <xf numFmtId="1" fontId="0" fillId="0" borderId="12" xfId="0" applyNumberFormat="1" applyFill="1" applyBorder="1" applyAlignment="1">
      <alignment/>
    </xf>
    <xf numFmtId="166" fontId="0" fillId="0" borderId="0" xfId="0" applyNumberFormat="1" applyFont="1" applyAlignment="1">
      <alignment/>
    </xf>
    <xf numFmtId="0" fontId="1" fillId="0" borderId="12" xfId="0" applyFont="1" applyBorder="1" applyAlignment="1">
      <alignment horizontal="center" vertical="center" wrapText="1"/>
    </xf>
    <xf numFmtId="0" fontId="0" fillId="0" borderId="0" xfId="0" applyFont="1" applyFill="1" applyBorder="1" applyAlignment="1">
      <alignment/>
    </xf>
    <xf numFmtId="43" fontId="0" fillId="0" borderId="0" xfId="42" applyFont="1" applyFill="1" applyBorder="1" applyAlignment="1">
      <alignment horizontal="center"/>
    </xf>
    <xf numFmtId="164" fontId="0" fillId="0" borderId="0" xfId="42" applyNumberFormat="1" applyFont="1" applyFill="1" applyBorder="1" applyAlignment="1">
      <alignment horizontal="center"/>
    </xf>
    <xf numFmtId="0" fontId="1" fillId="0" borderId="12" xfId="0" applyFont="1" applyBorder="1" applyAlignment="1">
      <alignment vertical="center" wrapText="1"/>
    </xf>
    <xf numFmtId="0" fontId="1" fillId="0" borderId="0" xfId="0" applyFont="1" applyAlignment="1">
      <alignment horizontal="center" vertical="center"/>
    </xf>
    <xf numFmtId="0" fontId="1" fillId="0" borderId="0" xfId="0" applyFont="1" applyBorder="1" applyAlignment="1">
      <alignment vertical="center" wrapText="1"/>
    </xf>
    <xf numFmtId="2" fontId="1" fillId="0" borderId="0" xfId="0" applyNumberFormat="1" applyFont="1" applyFill="1" applyBorder="1" applyAlignment="1">
      <alignment horizontal="center"/>
    </xf>
    <xf numFmtId="166" fontId="0" fillId="38" borderId="0" xfId="42" applyNumberFormat="1" applyFont="1" applyFill="1" applyAlignment="1">
      <alignment/>
    </xf>
    <xf numFmtId="166" fontId="0" fillId="0" borderId="0" xfId="0" applyNumberFormat="1" applyAlignment="1">
      <alignment/>
    </xf>
    <xf numFmtId="0" fontId="0" fillId="0" borderId="0" xfId="42" applyNumberFormat="1" applyFont="1" applyAlignment="1">
      <alignment horizontal="left"/>
    </xf>
    <xf numFmtId="166" fontId="0" fillId="0" borderId="0" xfId="42" applyNumberFormat="1" applyFont="1" applyBorder="1" applyAlignment="1">
      <alignment vertical="center"/>
    </xf>
    <xf numFmtId="164" fontId="2" fillId="0" borderId="0" xfId="0" applyNumberFormat="1" applyFont="1" applyAlignment="1">
      <alignment/>
    </xf>
    <xf numFmtId="166" fontId="2" fillId="0" borderId="0" xfId="0" applyNumberFormat="1" applyFont="1" applyAlignment="1">
      <alignment/>
    </xf>
    <xf numFmtId="166" fontId="81" fillId="0" borderId="0" xfId="42" applyNumberFormat="1" applyFont="1" applyBorder="1" applyAlignment="1">
      <alignment/>
    </xf>
    <xf numFmtId="166" fontId="81" fillId="0" borderId="0" xfId="42" applyNumberFormat="1" applyFont="1" applyAlignment="1">
      <alignment/>
    </xf>
    <xf numFmtId="166" fontId="0" fillId="0" borderId="0" xfId="0" applyNumberFormat="1" applyFont="1" applyAlignment="1">
      <alignment horizontal="center"/>
    </xf>
    <xf numFmtId="164" fontId="0" fillId="38" borderId="0" xfId="42" applyNumberFormat="1" applyFont="1" applyFill="1" applyAlignment="1">
      <alignment/>
    </xf>
    <xf numFmtId="164" fontId="81" fillId="0" borderId="0" xfId="42" applyNumberFormat="1" applyFont="1" applyBorder="1" applyAlignment="1">
      <alignment/>
    </xf>
    <xf numFmtId="164" fontId="81" fillId="0" borderId="0" xfId="42" applyNumberFormat="1" applyFont="1" applyAlignment="1">
      <alignment/>
    </xf>
    <xf numFmtId="164" fontId="2" fillId="0" borderId="0" xfId="0" applyNumberFormat="1" applyFont="1" applyAlignment="1">
      <alignment horizontal="right"/>
    </xf>
    <xf numFmtId="164" fontId="0" fillId="0" borderId="0" xfId="0" applyNumberFormat="1" applyAlignment="1">
      <alignment horizontal="right"/>
    </xf>
    <xf numFmtId="164" fontId="0" fillId="0" borderId="0" xfId="0" applyNumberFormat="1" applyFont="1" applyAlignment="1">
      <alignment horizontal="right"/>
    </xf>
    <xf numFmtId="166" fontId="0" fillId="0" borderId="0" xfId="42" applyNumberFormat="1" applyFont="1" applyAlignment="1">
      <alignment horizontal="right"/>
    </xf>
    <xf numFmtId="164" fontId="0" fillId="0" borderId="0" xfId="42" applyNumberFormat="1" applyFont="1" applyAlignment="1">
      <alignment horizontal="right" vertical="center"/>
    </xf>
    <xf numFmtId="164" fontId="2" fillId="0" borderId="0" xfId="42" applyNumberFormat="1" applyFont="1" applyAlignment="1">
      <alignment/>
    </xf>
    <xf numFmtId="166" fontId="2" fillId="0" borderId="0" xfId="42" applyNumberFormat="1" applyFont="1" applyAlignment="1">
      <alignment/>
    </xf>
    <xf numFmtId="166" fontId="0" fillId="0" borderId="0" xfId="0" applyNumberFormat="1" applyAlignment="1">
      <alignment horizontal="right"/>
    </xf>
    <xf numFmtId="164" fontId="2" fillId="0" borderId="0" xfId="42" applyNumberFormat="1" applyFont="1" applyAlignment="1">
      <alignment horizontal="center"/>
    </xf>
    <xf numFmtId="2" fontId="2" fillId="0" borderId="0" xfId="0" applyNumberFormat="1" applyFont="1" applyAlignment="1">
      <alignment/>
    </xf>
    <xf numFmtId="0" fontId="2" fillId="0" borderId="0" xfId="42" applyNumberFormat="1" applyFont="1" applyAlignment="1">
      <alignment horizontal="left"/>
    </xf>
    <xf numFmtId="43" fontId="2" fillId="0" borderId="0" xfId="42" applyFont="1" applyAlignment="1">
      <alignment/>
    </xf>
    <xf numFmtId="166" fontId="2" fillId="0" borderId="0" xfId="0" applyNumberFormat="1" applyFont="1" applyAlignment="1">
      <alignment horizontal="center"/>
    </xf>
    <xf numFmtId="0" fontId="81" fillId="0" borderId="0" xfId="0" applyFont="1" applyFill="1" applyAlignment="1">
      <alignment/>
    </xf>
    <xf numFmtId="1" fontId="2" fillId="0" borderId="0" xfId="0" applyNumberFormat="1" applyFont="1" applyAlignment="1">
      <alignment horizontal="right"/>
    </xf>
    <xf numFmtId="1" fontId="0" fillId="0" borderId="0" xfId="0" applyNumberFormat="1" applyFont="1" applyAlignment="1">
      <alignment horizontal="right"/>
    </xf>
    <xf numFmtId="1" fontId="0" fillId="0" borderId="0" xfId="42" applyNumberFormat="1" applyFont="1" applyAlignment="1">
      <alignment horizontal="right"/>
    </xf>
    <xf numFmtId="170" fontId="0" fillId="0" borderId="0" xfId="42" applyNumberFormat="1" applyFont="1" applyAlignment="1">
      <alignment/>
    </xf>
    <xf numFmtId="2" fontId="0" fillId="0" borderId="22" xfId="0" applyNumberFormat="1" applyBorder="1" applyAlignment="1">
      <alignment/>
    </xf>
    <xf numFmtId="0" fontId="0" fillId="0" borderId="14" xfId="0" applyFont="1" applyBorder="1" applyAlignment="1">
      <alignment horizontal="center" vertical="center" wrapText="1"/>
    </xf>
    <xf numFmtId="0" fontId="0" fillId="0" borderId="0" xfId="0" applyFont="1" applyAlignment="1">
      <alignment vertical="top"/>
    </xf>
    <xf numFmtId="0" fontId="0" fillId="0" borderId="0" xfId="0" applyFont="1" applyAlignment="1">
      <alignment vertical="top" wrapText="1"/>
    </xf>
    <xf numFmtId="43" fontId="0" fillId="0" borderId="0" xfId="42" applyFont="1" applyAlignment="1">
      <alignment horizontal="right"/>
    </xf>
    <xf numFmtId="49" fontId="0" fillId="0" borderId="0" xfId="0" applyNumberFormat="1" applyFont="1" applyBorder="1" applyAlignment="1">
      <alignment wrapText="1"/>
    </xf>
    <xf numFmtId="169" fontId="0" fillId="0" borderId="0" xfId="0" applyNumberFormat="1" applyBorder="1" applyAlignment="1">
      <alignment/>
    </xf>
    <xf numFmtId="49" fontId="0" fillId="0" borderId="0" xfId="0" applyNumberFormat="1" applyFont="1" applyBorder="1" applyAlignment="1">
      <alignment/>
    </xf>
    <xf numFmtId="49" fontId="0" fillId="0" borderId="0" xfId="0" applyNumberFormat="1" applyAlignment="1">
      <alignment/>
    </xf>
    <xf numFmtId="170" fontId="0" fillId="0" borderId="0" xfId="0" applyNumberFormat="1" applyFill="1" applyBorder="1" applyAlignment="1">
      <alignment/>
    </xf>
    <xf numFmtId="0" fontId="0" fillId="0" borderId="0" xfId="0" applyFont="1" applyAlignment="1">
      <alignment horizontal="center" vertical="center"/>
    </xf>
    <xf numFmtId="0" fontId="0" fillId="0" borderId="0" xfId="0" applyAlignment="1">
      <alignment horizontal="center" vertical="center"/>
    </xf>
    <xf numFmtId="2" fontId="0" fillId="0" borderId="14" xfId="0" applyNumberFormat="1" applyFill="1" applyBorder="1" applyAlignment="1">
      <alignment/>
    </xf>
    <xf numFmtId="170" fontId="0" fillId="0" borderId="14" xfId="0" applyNumberFormat="1" applyFont="1" applyFill="1" applyBorder="1" applyAlignment="1">
      <alignment/>
    </xf>
    <xf numFmtId="164" fontId="0" fillId="0" borderId="17" xfId="42" applyNumberFormat="1" applyFont="1" applyBorder="1" applyAlignment="1">
      <alignment horizontal="center"/>
    </xf>
    <xf numFmtId="164" fontId="0" fillId="0" borderId="23" xfId="42" applyNumberFormat="1" applyFont="1" applyBorder="1" applyAlignment="1">
      <alignment horizontal="center"/>
    </xf>
    <xf numFmtId="164" fontId="0" fillId="0" borderId="17" xfId="42" applyNumberFormat="1" applyFont="1" applyBorder="1" applyAlignment="1">
      <alignment horizontal="center"/>
    </xf>
    <xf numFmtId="0" fontId="0" fillId="0" borderId="29" xfId="0" applyFont="1" applyBorder="1" applyAlignment="1">
      <alignment horizontal="left" indent="1"/>
    </xf>
    <xf numFmtId="43" fontId="0" fillId="0" borderId="29" xfId="42" applyFont="1" applyBorder="1" applyAlignment="1">
      <alignment/>
    </xf>
    <xf numFmtId="9" fontId="0" fillId="0" borderId="29" xfId="60" applyFont="1" applyBorder="1" applyAlignment="1">
      <alignment/>
    </xf>
    <xf numFmtId="166" fontId="0" fillId="0" borderId="29" xfId="42" applyNumberFormat="1" applyFont="1" applyBorder="1" applyAlignment="1">
      <alignment/>
    </xf>
    <xf numFmtId="164" fontId="0" fillId="0" borderId="29" xfId="42" applyNumberFormat="1" applyFont="1" applyBorder="1" applyAlignment="1">
      <alignment/>
    </xf>
    <xf numFmtId="0" fontId="0" fillId="0" borderId="30" xfId="0" applyFont="1" applyBorder="1" applyAlignment="1">
      <alignment/>
    </xf>
    <xf numFmtId="43" fontId="0" fillId="0" borderId="30" xfId="42" applyFont="1" applyFill="1" applyBorder="1" applyAlignment="1">
      <alignment/>
    </xf>
    <xf numFmtId="9" fontId="0" fillId="0" borderId="30" xfId="60" applyFont="1" applyFill="1" applyBorder="1" applyAlignment="1">
      <alignment/>
    </xf>
    <xf numFmtId="166" fontId="0" fillId="0" borderId="30" xfId="42" applyNumberFormat="1" applyFont="1" applyFill="1" applyBorder="1" applyAlignment="1">
      <alignment/>
    </xf>
    <xf numFmtId="164" fontId="0" fillId="0" borderId="30" xfId="42" applyNumberFormat="1" applyFont="1" applyFill="1" applyBorder="1" applyAlignment="1">
      <alignment/>
    </xf>
    <xf numFmtId="0" fontId="0" fillId="0" borderId="29" xfId="0" applyFont="1" applyBorder="1" applyAlignment="1" quotePrefix="1">
      <alignment horizontal="left" indent="1"/>
    </xf>
    <xf numFmtId="43" fontId="0" fillId="0" borderId="0" xfId="42" applyFont="1" applyFill="1" applyBorder="1" applyAlignment="1">
      <alignment/>
    </xf>
    <xf numFmtId="166" fontId="0" fillId="0" borderId="0" xfId="42" applyNumberFormat="1" applyFont="1" applyAlignment="1">
      <alignment horizontal="right"/>
    </xf>
    <xf numFmtId="165" fontId="0" fillId="0" borderId="0" xfId="0" applyNumberFormat="1" applyFont="1" applyAlignment="1">
      <alignment horizontal="right"/>
    </xf>
    <xf numFmtId="166" fontId="0" fillId="0" borderId="0" xfId="0" applyNumberFormat="1" applyFont="1" applyAlignment="1">
      <alignment horizontal="right"/>
    </xf>
    <xf numFmtId="0" fontId="81" fillId="0" borderId="13" xfId="0" applyFont="1" applyFill="1" applyBorder="1" applyAlignment="1">
      <alignment/>
    </xf>
    <xf numFmtId="164" fontId="81" fillId="0" borderId="0" xfId="42" applyNumberFormat="1" applyFont="1" applyFill="1" applyBorder="1" applyAlignment="1">
      <alignment/>
    </xf>
    <xf numFmtId="0" fontId="81" fillId="0" borderId="0" xfId="0" applyFont="1" applyFill="1" applyBorder="1" applyAlignment="1">
      <alignment/>
    </xf>
    <xf numFmtId="164" fontId="81" fillId="0" borderId="13" xfId="0" applyNumberFormat="1" applyFont="1" applyBorder="1" applyAlignment="1">
      <alignment/>
    </xf>
    <xf numFmtId="164" fontId="81" fillId="0" borderId="16" xfId="42" applyNumberFormat="1" applyFont="1" applyBorder="1" applyAlignment="1">
      <alignment/>
    </xf>
    <xf numFmtId="166" fontId="81" fillId="0" borderId="0" xfId="42" applyNumberFormat="1" applyFont="1" applyFill="1" applyBorder="1" applyAlignment="1">
      <alignment/>
    </xf>
    <xf numFmtId="0" fontId="1" fillId="0" borderId="15" xfId="0" applyFont="1" applyBorder="1" applyAlignment="1">
      <alignment horizontal="center" vertical="center" wrapText="1"/>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14" xfId="0" applyFont="1" applyBorder="1" applyAlignment="1">
      <alignment horizontal="center" vertical="center"/>
    </xf>
    <xf numFmtId="0" fontId="0" fillId="0" borderId="22" xfId="0" applyFont="1" applyFill="1" applyBorder="1" applyAlignment="1">
      <alignment horizontal="center" vertical="center" wrapText="1"/>
    </xf>
    <xf numFmtId="0" fontId="0" fillId="0" borderId="22" xfId="0" applyFont="1" applyBorder="1" applyAlignment="1">
      <alignment horizontal="center" vertical="center"/>
    </xf>
    <xf numFmtId="2" fontId="0" fillId="0" borderId="12" xfId="0" applyNumberFormat="1" applyBorder="1" applyAlignment="1">
      <alignment/>
    </xf>
    <xf numFmtId="1" fontId="0" fillId="0" borderId="16" xfId="0" applyNumberFormat="1" applyBorder="1" applyAlignment="1">
      <alignment/>
    </xf>
    <xf numFmtId="0" fontId="0" fillId="0" borderId="31" xfId="0" applyBorder="1" applyAlignment="1">
      <alignment/>
    </xf>
    <xf numFmtId="2" fontId="0" fillId="0" borderId="31" xfId="0" applyNumberFormat="1" applyBorder="1" applyAlignment="1">
      <alignment/>
    </xf>
    <xf numFmtId="1" fontId="0" fillId="0" borderId="10" xfId="0" applyNumberFormat="1" applyBorder="1" applyAlignment="1">
      <alignment/>
    </xf>
    <xf numFmtId="43" fontId="0" fillId="0" borderId="31" xfId="42" applyNumberFormat="1" applyFont="1" applyBorder="1" applyAlignment="1">
      <alignment/>
    </xf>
    <xf numFmtId="164" fontId="0" fillId="0" borderId="10" xfId="42" applyNumberFormat="1" applyFont="1" applyBorder="1" applyAlignment="1">
      <alignment/>
    </xf>
    <xf numFmtId="164" fontId="0" fillId="0" borderId="32" xfId="42" applyNumberFormat="1" applyFont="1" applyBorder="1" applyAlignment="1">
      <alignment/>
    </xf>
    <xf numFmtId="164" fontId="0" fillId="0" borderId="31" xfId="42" applyNumberFormat="1" applyFont="1" applyBorder="1" applyAlignment="1">
      <alignment/>
    </xf>
    <xf numFmtId="164" fontId="0" fillId="0" borderId="33" xfId="42" applyNumberFormat="1" applyFont="1" applyBorder="1" applyAlignment="1">
      <alignment/>
    </xf>
    <xf numFmtId="9" fontId="0" fillId="0" borderId="25" xfId="60" applyFont="1" applyFill="1" applyBorder="1" applyAlignment="1">
      <alignment/>
    </xf>
    <xf numFmtId="49" fontId="9" fillId="0" borderId="0" xfId="0" applyNumberFormat="1" applyFont="1" applyAlignment="1">
      <alignment/>
    </xf>
    <xf numFmtId="49" fontId="0" fillId="0" borderId="0" xfId="0" applyNumberFormat="1" applyFont="1" applyAlignment="1">
      <alignment horizontal="center" vertical="center" wrapText="1"/>
    </xf>
    <xf numFmtId="4" fontId="79" fillId="0" borderId="15" xfId="0" applyNumberFormat="1" applyFont="1" applyBorder="1" applyAlignment="1">
      <alignment horizontal="center" vertical="center" wrapText="1"/>
    </xf>
    <xf numFmtId="0" fontId="79" fillId="0" borderId="15" xfId="0" applyFont="1" applyBorder="1" applyAlignment="1">
      <alignment horizontal="center" vertical="center" wrapText="1"/>
    </xf>
    <xf numFmtId="164" fontId="79" fillId="0" borderId="15" xfId="42" applyNumberFormat="1" applyFont="1" applyBorder="1" applyAlignment="1">
      <alignment horizontal="center" vertical="center" wrapText="1"/>
    </xf>
    <xf numFmtId="0" fontId="79" fillId="0" borderId="15" xfId="0" applyFont="1" applyFill="1" applyBorder="1" applyAlignment="1">
      <alignment horizontal="center" vertical="center" wrapText="1"/>
    </xf>
    <xf numFmtId="164" fontId="79" fillId="0" borderId="15" xfId="42" applyNumberFormat="1" applyFont="1" applyFill="1" applyBorder="1" applyAlignment="1">
      <alignment horizontal="center" vertical="center" wrapText="1"/>
    </xf>
    <xf numFmtId="0" fontId="79" fillId="0" borderId="0" xfId="0" applyFont="1" applyAlignment="1">
      <alignment horizontal="center" vertical="center" wrapText="1"/>
    </xf>
    <xf numFmtId="49" fontId="4" fillId="0" borderId="0" xfId="0" applyNumberFormat="1" applyFont="1" applyAlignment="1">
      <alignment/>
    </xf>
    <xf numFmtId="0" fontId="4" fillId="0" borderId="12" xfId="0" applyFont="1" applyBorder="1" applyAlignment="1">
      <alignment horizontal="center"/>
    </xf>
    <xf numFmtId="0" fontId="4" fillId="0" borderId="12" xfId="0" applyFont="1" applyBorder="1" applyAlignment="1">
      <alignment/>
    </xf>
    <xf numFmtId="164" fontId="4" fillId="0" borderId="12" xfId="42" applyNumberFormat="1" applyFont="1" applyBorder="1" applyAlignment="1">
      <alignment horizontal="center"/>
    </xf>
    <xf numFmtId="0" fontId="4" fillId="0" borderId="12" xfId="0" applyFont="1" applyFill="1" applyBorder="1" applyAlignment="1">
      <alignment horizontal="center"/>
    </xf>
    <xf numFmtId="164" fontId="83" fillId="0" borderId="12" xfId="42" applyNumberFormat="1" applyFont="1" applyFill="1" applyBorder="1" applyAlignment="1">
      <alignment horizontal="center"/>
    </xf>
    <xf numFmtId="0" fontId="4" fillId="0" borderId="0" xfId="0" applyFont="1" applyBorder="1" applyAlignment="1">
      <alignment/>
    </xf>
    <xf numFmtId="49" fontId="2" fillId="34" borderId="24" xfId="0" applyNumberFormat="1" applyFont="1" applyFill="1" applyBorder="1" applyAlignment="1">
      <alignment/>
    </xf>
    <xf numFmtId="4" fontId="80" fillId="34" borderId="25" xfId="0" applyNumberFormat="1" applyFont="1" applyFill="1" applyBorder="1" applyAlignment="1">
      <alignment/>
    </xf>
    <xf numFmtId="0" fontId="80" fillId="34" borderId="25" xfId="0" applyFont="1" applyFill="1" applyBorder="1" applyAlignment="1">
      <alignment/>
    </xf>
    <xf numFmtId="164" fontId="80" fillId="34" borderId="25" xfId="0" applyNumberFormat="1" applyFont="1" applyFill="1" applyBorder="1" applyAlignment="1">
      <alignment/>
    </xf>
    <xf numFmtId="164" fontId="80" fillId="34" borderId="25" xfId="42" applyNumberFormat="1" applyFont="1" applyFill="1" applyBorder="1" applyAlignment="1">
      <alignment/>
    </xf>
    <xf numFmtId="43" fontId="80" fillId="34" borderId="25" xfId="42" applyNumberFormat="1" applyFont="1" applyFill="1" applyBorder="1" applyAlignment="1">
      <alignment/>
    </xf>
    <xf numFmtId="3" fontId="80" fillId="34" borderId="34" xfId="0" applyNumberFormat="1" applyFont="1" applyFill="1" applyBorder="1" applyAlignment="1">
      <alignment/>
    </xf>
    <xf numFmtId="49" fontId="0" fillId="0" borderId="0" xfId="0" applyNumberFormat="1" applyFont="1" applyAlignment="1">
      <alignment horizontal="left" indent="1"/>
    </xf>
    <xf numFmtId="4" fontId="0" fillId="0" borderId="0" xfId="0" applyNumberFormat="1" applyFont="1" applyAlignment="1">
      <alignment horizontal="right"/>
    </xf>
    <xf numFmtId="164" fontId="80" fillId="0" borderId="0" xfId="0" applyNumberFormat="1" applyFont="1" applyAlignment="1">
      <alignment/>
    </xf>
    <xf numFmtId="164" fontId="79" fillId="0" borderId="0" xfId="42" applyNumberFormat="1" applyFont="1" applyFill="1" applyBorder="1" applyAlignment="1">
      <alignment/>
    </xf>
    <xf numFmtId="0" fontId="0" fillId="0" borderId="35" xfId="0" applyFont="1" applyFill="1" applyBorder="1" applyAlignment="1">
      <alignment/>
    </xf>
    <xf numFmtId="49" fontId="0" fillId="0" borderId="0" xfId="0" applyNumberFormat="1" applyFont="1" applyAlignment="1">
      <alignment horizontal="left" indent="2"/>
    </xf>
    <xf numFmtId="2" fontId="0" fillId="0" borderId="36" xfId="0" applyNumberFormat="1" applyFont="1" applyBorder="1" applyAlignment="1">
      <alignment/>
    </xf>
    <xf numFmtId="9" fontId="0" fillId="0" borderId="0" xfId="60" applyFont="1" applyAlignment="1">
      <alignment horizontal="right" indent="1"/>
    </xf>
    <xf numFmtId="3" fontId="0" fillId="0" borderId="0" xfId="0" applyNumberFormat="1" applyFont="1" applyAlignment="1">
      <alignment horizontal="left" indent="1"/>
    </xf>
    <xf numFmtId="164" fontId="0" fillId="0" borderId="0" xfId="42" applyNumberFormat="1" applyFont="1" applyAlignment="1">
      <alignment horizontal="left" indent="1"/>
    </xf>
    <xf numFmtId="0" fontId="0" fillId="0" borderId="35" xfId="0" applyFont="1" applyFill="1" applyBorder="1" applyAlignment="1">
      <alignment horizontal="left" indent="1"/>
    </xf>
    <xf numFmtId="2" fontId="0" fillId="0" borderId="36" xfId="0" applyNumberFormat="1" applyFont="1" applyBorder="1" applyAlignment="1">
      <alignment horizontal="right"/>
    </xf>
    <xf numFmtId="164" fontId="0" fillId="0" borderId="0" xfId="42" applyNumberFormat="1" applyFont="1" applyFill="1" applyAlignment="1">
      <alignment horizontal="left" vertical="center"/>
    </xf>
    <xf numFmtId="164" fontId="0" fillId="0" borderId="0" xfId="42" applyNumberFormat="1" applyFont="1" applyFill="1" applyBorder="1" applyAlignment="1">
      <alignment horizontal="left" vertical="center"/>
    </xf>
    <xf numFmtId="164" fontId="79" fillId="0" borderId="0" xfId="42" applyNumberFormat="1" applyFont="1" applyFill="1" applyAlignment="1">
      <alignment horizontal="left" indent="1"/>
    </xf>
    <xf numFmtId="4" fontId="0" fillId="0" borderId="0" xfId="0" applyNumberFormat="1" applyFont="1" applyAlignment="1">
      <alignment horizontal="right" indent="1"/>
    </xf>
    <xf numFmtId="164" fontId="79" fillId="0" borderId="0" xfId="42" applyNumberFormat="1" applyFont="1" applyFill="1" applyAlignment="1">
      <alignment horizontal="left" vertical="center"/>
    </xf>
    <xf numFmtId="0" fontId="84" fillId="0" borderId="0" xfId="0" applyFont="1" applyFill="1" applyAlignment="1">
      <alignment horizontal="left" vertical="center"/>
    </xf>
    <xf numFmtId="49" fontId="0" fillId="39" borderId="0" xfId="0" applyNumberFormat="1" applyFont="1" applyFill="1" applyBorder="1" applyAlignment="1">
      <alignment horizontal="left" indent="1"/>
    </xf>
    <xf numFmtId="4" fontId="81" fillId="39" borderId="0" xfId="0" applyNumberFormat="1" applyFont="1" applyFill="1" applyBorder="1" applyAlignment="1">
      <alignment horizontal="right"/>
    </xf>
    <xf numFmtId="0" fontId="81" fillId="39" borderId="0" xfId="0" applyFont="1" applyFill="1" applyBorder="1" applyAlignment="1">
      <alignment/>
    </xf>
    <xf numFmtId="164" fontId="81" fillId="39" borderId="0" xfId="42" applyNumberFormat="1" applyFont="1" applyFill="1" applyBorder="1" applyAlignment="1">
      <alignment/>
    </xf>
    <xf numFmtId="0" fontId="81" fillId="0" borderId="35" xfId="0" applyFont="1" applyFill="1" applyBorder="1" applyAlignment="1">
      <alignment/>
    </xf>
    <xf numFmtId="164" fontId="82" fillId="39" borderId="0" xfId="0" applyNumberFormat="1" applyFont="1" applyFill="1" applyBorder="1" applyAlignment="1">
      <alignment/>
    </xf>
    <xf numFmtId="3" fontId="81" fillId="39" borderId="0" xfId="0" applyNumberFormat="1" applyFont="1" applyFill="1" applyBorder="1" applyAlignment="1">
      <alignment/>
    </xf>
    <xf numFmtId="4" fontId="81" fillId="39" borderId="0" xfId="0" applyNumberFormat="1" applyFont="1" applyFill="1" applyBorder="1" applyAlignment="1">
      <alignment/>
    </xf>
    <xf numFmtId="49" fontId="0" fillId="0" borderId="0" xfId="0" applyNumberFormat="1" applyFont="1" applyBorder="1" applyAlignment="1">
      <alignment horizontal="left" indent="1"/>
    </xf>
    <xf numFmtId="4" fontId="84" fillId="0" borderId="0" xfId="0" applyNumberFormat="1" applyFont="1" applyBorder="1" applyAlignment="1">
      <alignment/>
    </xf>
    <xf numFmtId="0" fontId="84" fillId="0" borderId="0" xfId="0" applyFont="1" applyBorder="1" applyAlignment="1">
      <alignment/>
    </xf>
    <xf numFmtId="3" fontId="84" fillId="0" borderId="0" xfId="0" applyNumberFormat="1" applyFont="1" applyBorder="1" applyAlignment="1">
      <alignment/>
    </xf>
    <xf numFmtId="164" fontId="84" fillId="0" borderId="0" xfId="42" applyNumberFormat="1" applyFont="1" applyBorder="1" applyAlignment="1">
      <alignment/>
    </xf>
    <xf numFmtId="0" fontId="84" fillId="0" borderId="0" xfId="0" applyFont="1" applyFill="1" applyBorder="1" applyAlignment="1">
      <alignment/>
    </xf>
    <xf numFmtId="164" fontId="84" fillId="0" borderId="0" xfId="42" applyNumberFormat="1" applyFont="1" applyFill="1" applyBorder="1" applyAlignment="1">
      <alignment/>
    </xf>
    <xf numFmtId="0" fontId="84" fillId="0" borderId="35" xfId="0" applyFont="1" applyFill="1" applyBorder="1" applyAlignment="1">
      <alignment/>
    </xf>
    <xf numFmtId="0" fontId="84" fillId="0" borderId="0" xfId="0" applyFont="1" applyFill="1" applyAlignment="1">
      <alignment/>
    </xf>
    <xf numFmtId="49" fontId="2" fillId="37" borderId="24" xfId="42" applyNumberFormat="1" applyFont="1" applyFill="1" applyBorder="1" applyAlignment="1">
      <alignment/>
    </xf>
    <xf numFmtId="4" fontId="80" fillId="37" borderId="25" xfId="42" applyNumberFormat="1" applyFont="1" applyFill="1" applyBorder="1" applyAlignment="1">
      <alignment/>
    </xf>
    <xf numFmtId="164" fontId="80" fillId="37" borderId="25" xfId="42" applyNumberFormat="1" applyFont="1" applyFill="1" applyBorder="1" applyAlignment="1">
      <alignment/>
    </xf>
    <xf numFmtId="43" fontId="80" fillId="37" borderId="25" xfId="42" applyNumberFormat="1" applyFont="1" applyFill="1" applyBorder="1" applyAlignment="1">
      <alignment/>
    </xf>
    <xf numFmtId="164" fontId="80" fillId="37" borderId="34" xfId="42" applyNumberFormat="1" applyFont="1" applyFill="1" applyBorder="1" applyAlignment="1">
      <alignment/>
    </xf>
    <xf numFmtId="164" fontId="80" fillId="0" borderId="0" xfId="42" applyNumberFormat="1" applyFont="1" applyFill="1" applyAlignment="1">
      <alignment/>
    </xf>
    <xf numFmtId="164" fontId="0" fillId="33" borderId="0" xfId="42" applyNumberFormat="1" applyFont="1" applyFill="1" applyBorder="1" applyAlignment="1">
      <alignment/>
    </xf>
    <xf numFmtId="49" fontId="2" fillId="35" borderId="24" xfId="0" applyNumberFormat="1" applyFont="1" applyFill="1" applyBorder="1" applyAlignment="1">
      <alignment/>
    </xf>
    <xf numFmtId="4" fontId="80" fillId="35" borderId="25" xfId="0" applyNumberFormat="1" applyFont="1" applyFill="1" applyBorder="1" applyAlignment="1">
      <alignment/>
    </xf>
    <xf numFmtId="0" fontId="80" fillId="35" borderId="25" xfId="0" applyFont="1" applyFill="1" applyBorder="1" applyAlignment="1">
      <alignment/>
    </xf>
    <xf numFmtId="164" fontId="80" fillId="35" borderId="25" xfId="0" applyNumberFormat="1" applyFont="1" applyFill="1" applyBorder="1" applyAlignment="1">
      <alignment/>
    </xf>
    <xf numFmtId="164" fontId="80" fillId="35" borderId="25" xfId="42" applyNumberFormat="1" applyFont="1" applyFill="1" applyBorder="1" applyAlignment="1">
      <alignment/>
    </xf>
    <xf numFmtId="43" fontId="80" fillId="35" borderId="25" xfId="42" applyNumberFormat="1" applyFont="1" applyFill="1" applyBorder="1" applyAlignment="1">
      <alignment/>
    </xf>
    <xf numFmtId="164" fontId="80" fillId="35" borderId="34" xfId="42" applyNumberFormat="1" applyFont="1" applyFill="1" applyBorder="1" applyAlignment="1">
      <alignment/>
    </xf>
    <xf numFmtId="49" fontId="0" fillId="0" borderId="0" xfId="0" applyNumberFormat="1" applyFont="1" applyAlignment="1">
      <alignment/>
    </xf>
    <xf numFmtId="169" fontId="0" fillId="0" borderId="37" xfId="0" applyNumberFormat="1" applyFont="1" applyFill="1" applyBorder="1" applyAlignment="1">
      <alignment/>
    </xf>
    <xf numFmtId="49" fontId="2" fillId="17" borderId="24" xfId="0" applyNumberFormat="1" applyFont="1" applyFill="1" applyBorder="1" applyAlignment="1">
      <alignment/>
    </xf>
    <xf numFmtId="4" fontId="80" fillId="17" borderId="25" xfId="0" applyNumberFormat="1" applyFont="1" applyFill="1" applyBorder="1" applyAlignment="1">
      <alignment/>
    </xf>
    <xf numFmtId="0" fontId="80" fillId="17" borderId="25" xfId="0" applyFont="1" applyFill="1" applyBorder="1" applyAlignment="1">
      <alignment/>
    </xf>
    <xf numFmtId="164" fontId="80" fillId="17" borderId="25" xfId="0" applyNumberFormat="1" applyFont="1" applyFill="1" applyBorder="1" applyAlignment="1">
      <alignment/>
    </xf>
    <xf numFmtId="164" fontId="80" fillId="17" borderId="25" xfId="42" applyNumberFormat="1" applyFont="1" applyFill="1" applyBorder="1" applyAlignment="1">
      <alignment/>
    </xf>
    <xf numFmtId="43" fontId="80" fillId="17" borderId="25" xfId="42" applyNumberFormat="1" applyFont="1" applyFill="1" applyBorder="1" applyAlignment="1">
      <alignment/>
    </xf>
    <xf numFmtId="164" fontId="80" fillId="17" borderId="34" xfId="42" applyNumberFormat="1" applyFont="1" applyFill="1" applyBorder="1" applyAlignment="1">
      <alignment/>
    </xf>
    <xf numFmtId="170" fontId="0" fillId="0" borderId="36" xfId="0" applyNumberFormat="1" applyFont="1" applyBorder="1" applyAlignment="1">
      <alignment/>
    </xf>
    <xf numFmtId="4" fontId="0" fillId="0" borderId="0" xfId="0" applyNumberFormat="1" applyFont="1" applyBorder="1" applyAlignment="1">
      <alignment/>
    </xf>
    <xf numFmtId="4" fontId="84" fillId="39" borderId="0" xfId="0" applyNumberFormat="1" applyFont="1" applyFill="1" applyBorder="1" applyAlignment="1">
      <alignment/>
    </xf>
    <xf numFmtId="0" fontId="84" fillId="39" borderId="0" xfId="0" applyFont="1" applyFill="1" applyBorder="1" applyAlignment="1">
      <alignment/>
    </xf>
    <xf numFmtId="3" fontId="84" fillId="39" borderId="0" xfId="0" applyNumberFormat="1" applyFont="1" applyFill="1" applyBorder="1" applyAlignment="1">
      <alignment/>
    </xf>
    <xf numFmtId="164" fontId="84" fillId="39" borderId="0" xfId="42" applyNumberFormat="1" applyFont="1" applyFill="1" applyBorder="1" applyAlignment="1">
      <alignment/>
    </xf>
    <xf numFmtId="164" fontId="0" fillId="39" borderId="0" xfId="42" applyNumberFormat="1" applyFont="1" applyFill="1" applyBorder="1" applyAlignment="1">
      <alignment/>
    </xf>
    <xf numFmtId="49" fontId="2" fillId="36" borderId="24" xfId="0" applyNumberFormat="1" applyFont="1" applyFill="1" applyBorder="1" applyAlignment="1">
      <alignment horizontal="left"/>
    </xf>
    <xf numFmtId="4" fontId="0" fillId="36" borderId="25" xfId="0" applyNumberFormat="1" applyFont="1" applyFill="1" applyBorder="1" applyAlignment="1">
      <alignment/>
    </xf>
    <xf numFmtId="3" fontId="0" fillId="36" borderId="25" xfId="0" applyNumberFormat="1" applyFont="1" applyFill="1" applyBorder="1" applyAlignment="1">
      <alignment/>
    </xf>
    <xf numFmtId="164" fontId="0" fillId="36" borderId="25" xfId="42" applyNumberFormat="1" applyFont="1" applyFill="1" applyBorder="1" applyAlignment="1">
      <alignment/>
    </xf>
    <xf numFmtId="43" fontId="80" fillId="36" borderId="25" xfId="42" applyNumberFormat="1" applyFont="1" applyFill="1" applyBorder="1" applyAlignment="1">
      <alignment/>
    </xf>
    <xf numFmtId="164" fontId="0" fillId="36" borderId="25" xfId="42" applyNumberFormat="1" applyFont="1" applyFill="1" applyBorder="1" applyAlignment="1">
      <alignment horizontal="right"/>
    </xf>
    <xf numFmtId="0" fontId="0" fillId="36" borderId="25" xfId="0" applyFont="1" applyFill="1" applyBorder="1" applyAlignment="1">
      <alignment/>
    </xf>
    <xf numFmtId="164" fontId="79" fillId="36" borderId="25" xfId="42" applyNumberFormat="1" applyFont="1" applyFill="1" applyBorder="1" applyAlignment="1">
      <alignment/>
    </xf>
    <xf numFmtId="164" fontId="2" fillId="36" borderId="34" xfId="42" applyNumberFormat="1" applyFont="1" applyFill="1" applyBorder="1" applyAlignment="1">
      <alignment/>
    </xf>
    <xf numFmtId="49" fontId="0" fillId="0" borderId="0" xfId="0" applyNumberFormat="1" applyFont="1" applyAlignment="1">
      <alignment horizontal="left" indent="3"/>
    </xf>
    <xf numFmtId="2" fontId="0" fillId="0" borderId="38" xfId="0" applyNumberFormat="1" applyFont="1" applyBorder="1" applyAlignment="1">
      <alignment/>
    </xf>
    <xf numFmtId="0" fontId="0" fillId="0" borderId="39" xfId="0" applyFont="1" applyFill="1" applyBorder="1" applyAlignment="1">
      <alignment/>
    </xf>
    <xf numFmtId="49" fontId="0" fillId="0" borderId="0" xfId="0" applyNumberFormat="1" applyFont="1" applyAlignment="1">
      <alignment/>
    </xf>
    <xf numFmtId="43" fontId="0" fillId="0" borderId="23" xfId="42" applyFont="1" applyBorder="1" applyAlignment="1">
      <alignment/>
    </xf>
    <xf numFmtId="43" fontId="0" fillId="0" borderId="17" xfId="42" applyFont="1" applyBorder="1" applyAlignment="1">
      <alignment/>
    </xf>
    <xf numFmtId="43" fontId="0" fillId="0" borderId="13" xfId="42" applyFont="1" applyBorder="1" applyAlignment="1">
      <alignment/>
    </xf>
    <xf numFmtId="43" fontId="0" fillId="0" borderId="33" xfId="42" applyFont="1" applyBorder="1" applyAlignment="1">
      <alignment/>
    </xf>
    <xf numFmtId="2" fontId="1" fillId="0" borderId="13" xfId="0" applyNumberFormat="1" applyFont="1" applyFill="1" applyBorder="1" applyAlignment="1">
      <alignment vertical="center"/>
    </xf>
    <xf numFmtId="164" fontId="4" fillId="0" borderId="0" xfId="42" applyNumberFormat="1" applyFont="1" applyAlignment="1">
      <alignment/>
    </xf>
    <xf numFmtId="0" fontId="4" fillId="0" borderId="15" xfId="0" applyFont="1" applyBorder="1" applyAlignment="1">
      <alignment horizontal="center" vertical="center" wrapText="1"/>
    </xf>
    <xf numFmtId="0" fontId="4" fillId="0" borderId="0" xfId="0" applyFont="1" applyAlignment="1">
      <alignment horizontal="center" vertical="center"/>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Fill="1" applyBorder="1" applyAlignment="1">
      <alignment horizontal="center" vertical="center"/>
    </xf>
    <xf numFmtId="0" fontId="85" fillId="0" borderId="0" xfId="0" applyFont="1" applyAlignment="1">
      <alignment horizontal="center" vertical="center"/>
    </xf>
    <xf numFmtId="9" fontId="0" fillId="0" borderId="0" xfId="60" applyNumberFormat="1" applyFont="1" applyBorder="1" applyAlignment="1">
      <alignment vertical="center"/>
    </xf>
    <xf numFmtId="0" fontId="0" fillId="0" borderId="19" xfId="0" applyFont="1" applyFill="1" applyBorder="1" applyAlignment="1">
      <alignment/>
    </xf>
    <xf numFmtId="43" fontId="0" fillId="0" borderId="19" xfId="0" applyNumberFormat="1" applyFont="1" applyFill="1" applyBorder="1" applyAlignment="1">
      <alignment vertical="center"/>
    </xf>
    <xf numFmtId="43" fontId="0" fillId="0" borderId="12" xfId="0" applyNumberFormat="1" applyFont="1" applyFill="1" applyBorder="1" applyAlignment="1">
      <alignment vertical="center"/>
    </xf>
    <xf numFmtId="2" fontId="0" fillId="0" borderId="19" xfId="0" applyNumberFormat="1"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164" fontId="0" fillId="0" borderId="19" xfId="0" applyNumberFormat="1" applyFont="1" applyFill="1" applyBorder="1" applyAlignment="1">
      <alignment vertical="center"/>
    </xf>
    <xf numFmtId="164" fontId="0" fillId="0" borderId="12" xfId="0" applyNumberFormat="1" applyFont="1" applyFill="1" applyBorder="1" applyAlignment="1">
      <alignment vertical="center"/>
    </xf>
    <xf numFmtId="43" fontId="0" fillId="0" borderId="23" xfId="42" applyFont="1" applyBorder="1" applyAlignment="1">
      <alignment/>
    </xf>
    <xf numFmtId="0" fontId="0" fillId="0" borderId="17" xfId="0" applyFont="1" applyBorder="1" applyAlignment="1">
      <alignment/>
    </xf>
    <xf numFmtId="0" fontId="0" fillId="0" borderId="24" xfId="0" applyFont="1" applyBorder="1" applyAlignment="1">
      <alignment/>
    </xf>
    <xf numFmtId="43" fontId="0" fillId="0" borderId="40" xfId="0" applyNumberFormat="1" applyFont="1" applyBorder="1" applyAlignment="1">
      <alignment vertical="center"/>
    </xf>
    <xf numFmtId="43" fontId="0" fillId="0" borderId="25" xfId="0" applyNumberFormat="1" applyFont="1" applyBorder="1" applyAlignment="1">
      <alignment vertical="center"/>
    </xf>
    <xf numFmtId="2" fontId="0" fillId="0" borderId="40" xfId="0" applyNumberFormat="1" applyFont="1" applyBorder="1" applyAlignment="1">
      <alignment vertical="center"/>
    </xf>
    <xf numFmtId="0" fontId="0" fillId="0" borderId="25" xfId="0" applyFont="1" applyBorder="1" applyAlignment="1">
      <alignment vertical="center"/>
    </xf>
    <xf numFmtId="0" fontId="0" fillId="0" borderId="40" xfId="0" applyFont="1" applyBorder="1" applyAlignment="1">
      <alignment vertical="center"/>
    </xf>
    <xf numFmtId="164" fontId="0" fillId="0" borderId="40" xfId="0" applyNumberFormat="1" applyFont="1" applyBorder="1" applyAlignment="1">
      <alignment vertical="center"/>
    </xf>
    <xf numFmtId="164" fontId="0" fillId="0" borderId="25" xfId="0" applyNumberFormat="1" applyFont="1" applyBorder="1" applyAlignment="1">
      <alignment vertical="center"/>
    </xf>
    <xf numFmtId="0" fontId="0" fillId="0" borderId="23" xfId="0" applyFont="1" applyBorder="1" applyAlignment="1">
      <alignment horizontal="left"/>
    </xf>
    <xf numFmtId="43" fontId="0" fillId="0" borderId="13" xfId="0" applyNumberFormat="1" applyFont="1" applyBorder="1" applyAlignment="1">
      <alignment horizontal="left" vertical="center"/>
    </xf>
    <xf numFmtId="43" fontId="0" fillId="0" borderId="12" xfId="42" applyNumberFormat="1" applyFont="1" applyBorder="1" applyAlignment="1">
      <alignment vertical="center"/>
    </xf>
    <xf numFmtId="43" fontId="0" fillId="0" borderId="19" xfId="42" applyNumberFormat="1" applyFont="1" applyBorder="1" applyAlignment="1">
      <alignment vertical="center"/>
    </xf>
    <xf numFmtId="164" fontId="0" fillId="0" borderId="12" xfId="42" applyNumberFormat="1" applyFont="1" applyBorder="1" applyAlignment="1">
      <alignment vertical="center"/>
    </xf>
    <xf numFmtId="164" fontId="0" fillId="0" borderId="18" xfId="42" applyNumberFormat="1" applyFont="1" applyBorder="1" applyAlignment="1">
      <alignment vertical="center"/>
    </xf>
    <xf numFmtId="43" fontId="0" fillId="0" borderId="41" xfId="42" applyFont="1" applyBorder="1" applyAlignment="1">
      <alignment/>
    </xf>
    <xf numFmtId="164" fontId="86" fillId="0" borderId="0" xfId="42" applyNumberFormat="1" applyFont="1" applyFill="1" applyAlignment="1">
      <alignment/>
    </xf>
    <xf numFmtId="164" fontId="79" fillId="0" borderId="23" xfId="42" applyNumberFormat="1" applyFont="1" applyBorder="1" applyAlignment="1">
      <alignment horizontal="center" vertical="center" wrapText="1"/>
    </xf>
    <xf numFmtId="0" fontId="79" fillId="0" borderId="23" xfId="0" applyFont="1" applyBorder="1" applyAlignment="1">
      <alignment horizontal="center" vertical="center" wrapText="1"/>
    </xf>
    <xf numFmtId="164" fontId="0" fillId="0" borderId="14" xfId="42" applyNumberFormat="1" applyFont="1" applyBorder="1" applyAlignment="1">
      <alignment horizontal="center" vertical="center" wrapText="1"/>
    </xf>
    <xf numFmtId="3" fontId="2" fillId="0" borderId="0" xfId="0" applyNumberFormat="1" applyFont="1" applyFill="1" applyBorder="1" applyAlignment="1">
      <alignment vertical="center" wrapText="1"/>
    </xf>
    <xf numFmtId="164" fontId="0" fillId="0" borderId="39" xfId="42" applyNumberFormat="1" applyFont="1" applyFill="1" applyBorder="1" applyAlignment="1">
      <alignment/>
    </xf>
    <xf numFmtId="164" fontId="0" fillId="0" borderId="34" xfId="42" applyNumberFormat="1" applyFont="1" applyFill="1" applyBorder="1" applyAlignment="1">
      <alignment/>
    </xf>
    <xf numFmtId="0" fontId="0" fillId="0" borderId="0" xfId="0" applyFont="1" applyFill="1" applyAlignment="1">
      <alignment horizontal="center"/>
    </xf>
    <xf numFmtId="0" fontId="0" fillId="0" borderId="0" xfId="0" applyFont="1" applyFill="1" applyAlignment="1">
      <alignment horizontal="right"/>
    </xf>
    <xf numFmtId="0" fontId="81" fillId="0" borderId="0" xfId="0" applyFont="1" applyBorder="1" applyAlignment="1">
      <alignment horizontal="left" indent="1"/>
    </xf>
    <xf numFmtId="3" fontId="81" fillId="0" borderId="0" xfId="0" applyNumberFormat="1" applyFont="1" applyBorder="1" applyAlignment="1">
      <alignment/>
    </xf>
    <xf numFmtId="164" fontId="81" fillId="0" borderId="0" xfId="42" applyNumberFormat="1" applyFont="1" applyFill="1" applyAlignment="1">
      <alignment/>
    </xf>
    <xf numFmtId="3" fontId="81" fillId="0" borderId="0" xfId="0" applyNumberFormat="1" applyFont="1" applyFill="1" applyBorder="1" applyAlignment="1">
      <alignment/>
    </xf>
    <xf numFmtId="9" fontId="0" fillId="0" borderId="18" xfId="0" applyNumberFormat="1" applyFont="1" applyBorder="1" applyAlignment="1">
      <alignment horizontal="left" vertical="center"/>
    </xf>
    <xf numFmtId="0" fontId="1" fillId="0" borderId="0" xfId="0" applyFont="1" applyAlignment="1">
      <alignment wrapText="1"/>
    </xf>
    <xf numFmtId="2" fontId="1" fillId="0" borderId="13" xfId="0" applyNumberFormat="1" applyFont="1" applyFill="1" applyBorder="1" applyAlignment="1">
      <alignment/>
    </xf>
    <xf numFmtId="0" fontId="4" fillId="0" borderId="0" xfId="0" applyFont="1" applyAlignment="1">
      <alignment horizontal="center" vertical="center" wrapText="1"/>
    </xf>
    <xf numFmtId="0" fontId="4" fillId="0" borderId="1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xf>
    <xf numFmtId="0" fontId="4" fillId="0" borderId="22" xfId="0" applyFont="1" applyFill="1" applyBorder="1" applyAlignment="1">
      <alignment horizontal="center" vertical="center"/>
    </xf>
    <xf numFmtId="0" fontId="4" fillId="0" borderId="0" xfId="0" applyFont="1" applyBorder="1" applyAlignment="1">
      <alignment horizontal="center" vertical="center"/>
    </xf>
    <xf numFmtId="166" fontId="0" fillId="0" borderId="19" xfId="42" applyNumberFormat="1" applyFont="1" applyBorder="1" applyAlignment="1">
      <alignment vertical="center"/>
    </xf>
    <xf numFmtId="166" fontId="0" fillId="0" borderId="19" xfId="42" applyNumberFormat="1" applyFont="1" applyFill="1" applyBorder="1" applyAlignment="1">
      <alignment/>
    </xf>
    <xf numFmtId="1" fontId="0" fillId="0" borderId="19" xfId="0" applyNumberFormat="1" applyFill="1" applyBorder="1" applyAlignment="1">
      <alignment/>
    </xf>
    <xf numFmtId="3" fontId="0" fillId="0" borderId="23" xfId="0" applyNumberFormat="1" applyFill="1" applyBorder="1" applyAlignment="1">
      <alignment/>
    </xf>
    <xf numFmtId="1" fontId="0" fillId="0" borderId="18" xfId="0" applyNumberFormat="1" applyFill="1" applyBorder="1" applyAlignment="1">
      <alignment/>
    </xf>
    <xf numFmtId="166" fontId="0" fillId="0" borderId="13" xfId="42" applyNumberFormat="1" applyFont="1" applyBorder="1" applyAlignment="1">
      <alignment vertical="center"/>
    </xf>
    <xf numFmtId="166" fontId="0" fillId="0" borderId="13" xfId="42" applyNumberFormat="1" applyFont="1" applyFill="1" applyBorder="1" applyAlignment="1">
      <alignment/>
    </xf>
    <xf numFmtId="3" fontId="0" fillId="0" borderId="17" xfId="0" applyNumberFormat="1" applyFill="1" applyBorder="1" applyAlignment="1">
      <alignment/>
    </xf>
    <xf numFmtId="1" fontId="0" fillId="0" borderId="16" xfId="0" applyNumberFormat="1" applyFill="1" applyBorder="1" applyAlignment="1">
      <alignment/>
    </xf>
    <xf numFmtId="166" fontId="0" fillId="0" borderId="13" xfId="42" applyNumberFormat="1" applyFont="1" applyBorder="1" applyAlignment="1">
      <alignment/>
    </xf>
    <xf numFmtId="3" fontId="0" fillId="0" borderId="17" xfId="0" applyNumberFormat="1" applyFont="1" applyFill="1" applyBorder="1" applyAlignment="1">
      <alignment/>
    </xf>
    <xf numFmtId="166" fontId="0" fillId="0" borderId="0" xfId="42" applyNumberFormat="1" applyFont="1" applyFill="1" applyAlignment="1" quotePrefix="1">
      <alignment/>
    </xf>
    <xf numFmtId="166" fontId="0" fillId="0" borderId="27" xfId="42" applyNumberFormat="1" applyFont="1" applyBorder="1" applyAlignment="1">
      <alignment/>
    </xf>
    <xf numFmtId="166" fontId="0" fillId="0" borderId="27" xfId="42" applyNumberFormat="1" applyFont="1" applyFill="1" applyBorder="1" applyAlignment="1">
      <alignment/>
    </xf>
    <xf numFmtId="3" fontId="0" fillId="0" borderId="42" xfId="0" applyNumberFormat="1" applyFill="1" applyBorder="1" applyAlignment="1">
      <alignment/>
    </xf>
    <xf numFmtId="1" fontId="0" fillId="0" borderId="28" xfId="0" applyNumberFormat="1" applyFill="1" applyBorder="1" applyAlignment="1">
      <alignment/>
    </xf>
    <xf numFmtId="170" fontId="0" fillId="0" borderId="12" xfId="0" applyNumberFormat="1" applyFill="1" applyBorder="1" applyAlignment="1">
      <alignment/>
    </xf>
    <xf numFmtId="2" fontId="0" fillId="0" borderId="19" xfId="0" applyNumberFormat="1" applyFill="1" applyBorder="1" applyAlignment="1">
      <alignment/>
    </xf>
    <xf numFmtId="1" fontId="0" fillId="0" borderId="19" xfId="0" applyNumberFormat="1" applyFill="1" applyBorder="1" applyAlignment="1">
      <alignment horizontal="center"/>
    </xf>
    <xf numFmtId="164" fontId="0" fillId="0" borderId="19" xfId="42" applyNumberFormat="1" applyFont="1" applyFill="1" applyBorder="1" applyAlignment="1">
      <alignment/>
    </xf>
    <xf numFmtId="164" fontId="0" fillId="0" borderId="10" xfId="42" applyNumberFormat="1" applyFont="1" applyFill="1" applyBorder="1" applyAlignment="1">
      <alignment/>
    </xf>
    <xf numFmtId="2" fontId="1" fillId="0" borderId="15" xfId="0" applyNumberFormat="1" applyFont="1" applyFill="1" applyBorder="1" applyAlignment="1">
      <alignment horizontal="left" vertical="center"/>
    </xf>
    <xf numFmtId="164" fontId="77" fillId="0" borderId="0" xfId="42" applyNumberFormat="1" applyFont="1" applyBorder="1" applyAlignment="1">
      <alignment/>
    </xf>
    <xf numFmtId="9" fontId="4" fillId="0" borderId="0" xfId="60" applyFont="1" applyAlignment="1">
      <alignment/>
    </xf>
    <xf numFmtId="0" fontId="80" fillId="0" borderId="0" xfId="42" applyNumberFormat="1" applyFont="1" applyAlignment="1">
      <alignment vertical="center"/>
    </xf>
    <xf numFmtId="164" fontId="87" fillId="0" borderId="0" xfId="42" applyNumberFormat="1" applyFont="1" applyAlignment="1">
      <alignment/>
    </xf>
    <xf numFmtId="167" fontId="0" fillId="0" borderId="0" xfId="42" applyNumberFormat="1" applyFont="1" applyBorder="1" applyAlignment="1">
      <alignment/>
    </xf>
    <xf numFmtId="43" fontId="0" fillId="0" borderId="0" xfId="42" applyNumberFormat="1" applyFont="1" applyBorder="1" applyAlignment="1">
      <alignment/>
    </xf>
    <xf numFmtId="0" fontId="4" fillId="0" borderId="15" xfId="0" applyFont="1" applyBorder="1" applyAlignment="1">
      <alignment horizontal="center"/>
    </xf>
    <xf numFmtId="166" fontId="0" fillId="0" borderId="12" xfId="42" applyNumberFormat="1" applyFont="1" applyBorder="1" applyAlignment="1">
      <alignment/>
    </xf>
    <xf numFmtId="166" fontId="0" fillId="0" borderId="12" xfId="0" applyNumberFormat="1" applyBorder="1" applyAlignment="1">
      <alignment/>
    </xf>
    <xf numFmtId="166" fontId="0" fillId="0" borderId="0" xfId="0" applyNumberFormat="1" applyBorder="1" applyAlignment="1">
      <alignment/>
    </xf>
    <xf numFmtId="43" fontId="0" fillId="0" borderId="16" xfId="42" applyFont="1" applyBorder="1" applyAlignment="1">
      <alignment/>
    </xf>
    <xf numFmtId="166" fontId="0" fillId="0" borderId="31" xfId="0" applyNumberFormat="1" applyBorder="1" applyAlignment="1">
      <alignment/>
    </xf>
    <xf numFmtId="0" fontId="0" fillId="0" borderId="43" xfId="0" applyFont="1" applyFill="1" applyBorder="1" applyAlignment="1">
      <alignment/>
    </xf>
    <xf numFmtId="43" fontId="0" fillId="0" borderId="44" xfId="42" applyFont="1" applyBorder="1" applyAlignment="1">
      <alignment/>
    </xf>
    <xf numFmtId="166" fontId="0" fillId="0" borderId="45" xfId="42" applyNumberFormat="1" applyFont="1" applyBorder="1" applyAlignment="1">
      <alignment/>
    </xf>
    <xf numFmtId="43" fontId="0" fillId="0" borderId="44" xfId="0" applyNumberFormat="1" applyBorder="1" applyAlignment="1">
      <alignment/>
    </xf>
    <xf numFmtId="166" fontId="0" fillId="0" borderId="45" xfId="0" applyNumberFormat="1" applyBorder="1" applyAlignment="1">
      <alignment/>
    </xf>
    <xf numFmtId="164" fontId="0" fillId="0" borderId="44" xfId="42" applyNumberFormat="1" applyFont="1" applyBorder="1" applyAlignment="1">
      <alignment/>
    </xf>
    <xf numFmtId="164" fontId="0" fillId="0" borderId="44" xfId="0" applyNumberFormat="1" applyBorder="1" applyAlignment="1">
      <alignment/>
    </xf>
    <xf numFmtId="164" fontId="0" fillId="0" borderId="45" xfId="0" applyNumberFormat="1" applyBorder="1" applyAlignment="1">
      <alignment/>
    </xf>
    <xf numFmtId="0" fontId="4" fillId="0" borderId="0" xfId="0" applyFont="1" applyAlignment="1">
      <alignment/>
    </xf>
    <xf numFmtId="49" fontId="1" fillId="0" borderId="0" xfId="42" applyNumberFormat="1" applyFont="1" applyAlignment="1">
      <alignment horizontal="right"/>
    </xf>
    <xf numFmtId="166" fontId="1" fillId="0" borderId="0" xfId="42" applyNumberFormat="1" applyFont="1" applyAlignment="1">
      <alignment/>
    </xf>
    <xf numFmtId="164" fontId="1" fillId="0" borderId="0" xfId="42" applyNumberFormat="1" applyFont="1" applyBorder="1" applyAlignment="1">
      <alignment/>
    </xf>
    <xf numFmtId="164" fontId="1" fillId="0" borderId="0" xfId="42" applyNumberFormat="1" applyFont="1" applyAlignment="1">
      <alignment/>
    </xf>
    <xf numFmtId="164" fontId="88" fillId="0" borderId="0" xfId="42" applyNumberFormat="1" applyFont="1" applyAlignment="1">
      <alignment/>
    </xf>
    <xf numFmtId="164" fontId="1" fillId="0" borderId="0" xfId="42" applyNumberFormat="1" applyFont="1" applyAlignment="1">
      <alignment horizontal="right"/>
    </xf>
    <xf numFmtId="165" fontId="1" fillId="0" borderId="0" xfId="60" applyNumberFormat="1" applyFont="1" applyAlignment="1">
      <alignment/>
    </xf>
    <xf numFmtId="167" fontId="1" fillId="0" borderId="0" xfId="42" applyNumberFormat="1" applyFont="1" applyAlignment="1">
      <alignment/>
    </xf>
    <xf numFmtId="0" fontId="1" fillId="0" borderId="0" xfId="0" applyFont="1" applyAlignment="1">
      <alignment horizontal="right"/>
    </xf>
    <xf numFmtId="166" fontId="1" fillId="0" borderId="0" xfId="42" applyNumberFormat="1" applyFont="1" applyAlignment="1">
      <alignment horizontal="right"/>
    </xf>
    <xf numFmtId="43" fontId="0" fillId="0" borderId="19" xfId="42" applyNumberFormat="1" applyFont="1" applyFill="1" applyBorder="1" applyAlignment="1">
      <alignment/>
    </xf>
    <xf numFmtId="43" fontId="0" fillId="0" borderId="13" xfId="42" applyNumberFormat="1" applyFont="1" applyFill="1" applyBorder="1" applyAlignment="1">
      <alignment/>
    </xf>
    <xf numFmtId="166" fontId="0" fillId="0" borderId="12" xfId="42" applyNumberFormat="1" applyFont="1" applyFill="1" applyBorder="1" applyAlignment="1">
      <alignment/>
    </xf>
    <xf numFmtId="166" fontId="0" fillId="0" borderId="0" xfId="42" applyNumberFormat="1" applyFont="1" applyFill="1" applyBorder="1" applyAlignment="1">
      <alignment/>
    </xf>
    <xf numFmtId="2" fontId="0" fillId="0" borderId="15" xfId="0" applyNumberFormat="1" applyFont="1" applyFill="1" applyBorder="1" applyAlignment="1">
      <alignment/>
    </xf>
    <xf numFmtId="43" fontId="0" fillId="0" borderId="13" xfId="42" applyFont="1" applyBorder="1" applyAlignment="1">
      <alignment/>
    </xf>
    <xf numFmtId="43" fontId="0" fillId="0" borderId="46" xfId="42" applyFont="1" applyBorder="1" applyAlignment="1">
      <alignment/>
    </xf>
    <xf numFmtId="43" fontId="0" fillId="0" borderId="47" xfId="42" applyFont="1" applyBorder="1" applyAlignment="1">
      <alignment/>
    </xf>
    <xf numFmtId="43" fontId="0" fillId="0" borderId="48" xfId="42" applyFont="1" applyBorder="1" applyAlignment="1">
      <alignment/>
    </xf>
    <xf numFmtId="0" fontId="0" fillId="0" borderId="49" xfId="0" applyFont="1" applyFill="1" applyBorder="1" applyAlignment="1">
      <alignment/>
    </xf>
    <xf numFmtId="164" fontId="0" fillId="0" borderId="23" xfId="42" applyNumberFormat="1" applyFont="1" applyFill="1" applyBorder="1" applyAlignment="1">
      <alignment/>
    </xf>
    <xf numFmtId="164" fontId="0" fillId="0" borderId="17" xfId="42" applyNumberFormat="1" applyFont="1" applyFill="1" applyBorder="1" applyAlignment="1">
      <alignment/>
    </xf>
    <xf numFmtId="49" fontId="1" fillId="0" borderId="0" xfId="42" applyNumberFormat="1" applyFont="1" applyAlignment="1">
      <alignment horizontal="left"/>
    </xf>
    <xf numFmtId="49" fontId="1" fillId="0" borderId="0" xfId="42" applyNumberFormat="1" applyFont="1" applyAlignment="1">
      <alignment horizontal="left" indent="1"/>
    </xf>
    <xf numFmtId="186" fontId="0" fillId="0" borderId="0" xfId="0" applyNumberFormat="1" applyFont="1" applyAlignment="1">
      <alignment/>
    </xf>
    <xf numFmtId="0" fontId="4" fillId="0" borderId="23" xfId="0" applyFont="1" applyBorder="1" applyAlignment="1">
      <alignment horizontal="center" vertical="center" wrapText="1"/>
    </xf>
    <xf numFmtId="0" fontId="1" fillId="0" borderId="19" xfId="0" applyFont="1" applyBorder="1" applyAlignment="1">
      <alignment horizontal="center" vertical="center"/>
    </xf>
    <xf numFmtId="0" fontId="1" fillId="0" borderId="0" xfId="0" applyFont="1" applyBorder="1" applyAlignment="1">
      <alignment horizontal="center" vertical="center"/>
    </xf>
    <xf numFmtId="170" fontId="0" fillId="0" borderId="19" xfId="0" applyNumberFormat="1" applyFont="1" applyFill="1" applyBorder="1" applyAlignment="1">
      <alignment/>
    </xf>
    <xf numFmtId="170" fontId="0" fillId="0" borderId="23" xfId="0" applyNumberFormat="1" applyFont="1" applyFill="1" applyBorder="1" applyAlignment="1">
      <alignment/>
    </xf>
    <xf numFmtId="2" fontId="0" fillId="0" borderId="12" xfId="60" applyNumberFormat="1" applyFont="1" applyBorder="1" applyAlignment="1">
      <alignment/>
    </xf>
    <xf numFmtId="170" fontId="0" fillId="0" borderId="17" xfId="0" applyNumberFormat="1" applyFont="1" applyFill="1" applyBorder="1" applyAlignment="1">
      <alignment/>
    </xf>
    <xf numFmtId="2" fontId="0" fillId="0" borderId="0" xfId="60" applyNumberFormat="1" applyFont="1" applyBorder="1" applyAlignment="1">
      <alignment/>
    </xf>
    <xf numFmtId="170" fontId="0" fillId="0" borderId="17" xfId="0" applyNumberFormat="1" applyFont="1" applyFill="1" applyBorder="1" applyAlignment="1">
      <alignment horizontal="right"/>
    </xf>
    <xf numFmtId="166" fontId="0" fillId="0" borderId="0" xfId="0" applyNumberFormat="1" applyFont="1" applyBorder="1" applyAlignment="1">
      <alignment/>
    </xf>
    <xf numFmtId="166" fontId="0" fillId="0" borderId="0" xfId="0" applyNumberFormat="1" applyFont="1" applyFill="1" applyBorder="1" applyAlignment="1">
      <alignment/>
    </xf>
    <xf numFmtId="166" fontId="0" fillId="0" borderId="42" xfId="0" applyNumberFormat="1" applyFont="1" applyFill="1" applyBorder="1" applyAlignment="1">
      <alignment/>
    </xf>
    <xf numFmtId="2" fontId="0" fillId="0" borderId="11" xfId="60" applyNumberFormat="1" applyFont="1" applyBorder="1" applyAlignment="1">
      <alignment/>
    </xf>
    <xf numFmtId="2" fontId="0" fillId="0" borderId="19" xfId="60" applyNumberFormat="1" applyFont="1" applyBorder="1" applyAlignment="1">
      <alignment/>
    </xf>
    <xf numFmtId="0" fontId="0" fillId="0" borderId="0" xfId="0" applyFont="1" applyBorder="1" applyAlignment="1">
      <alignment horizontal="center" vertical="center"/>
    </xf>
    <xf numFmtId="0" fontId="0" fillId="0" borderId="15" xfId="0" applyFont="1" applyBorder="1" applyAlignment="1">
      <alignment vertical="center"/>
    </xf>
    <xf numFmtId="164" fontId="0" fillId="0" borderId="15" xfId="42" applyNumberFormat="1" applyFont="1" applyBorder="1" applyAlignment="1">
      <alignment horizontal="center" vertical="center"/>
    </xf>
    <xf numFmtId="164" fontId="1" fillId="0" borderId="15" xfId="42" applyNumberFormat="1" applyFont="1" applyBorder="1" applyAlignment="1">
      <alignment horizontal="center" vertical="center"/>
    </xf>
    <xf numFmtId="171" fontId="0" fillId="0" borderId="0" xfId="0" applyNumberFormat="1" applyFont="1" applyBorder="1" applyAlignment="1">
      <alignment/>
    </xf>
    <xf numFmtId="171" fontId="0" fillId="0" borderId="17" xfId="0" applyNumberFormat="1" applyFont="1" applyBorder="1" applyAlignment="1">
      <alignment horizontal="right"/>
    </xf>
    <xf numFmtId="9" fontId="0" fillId="0" borderId="19" xfId="60" applyFont="1" applyBorder="1" applyAlignment="1">
      <alignment horizontal="right"/>
    </xf>
    <xf numFmtId="171" fontId="0" fillId="0" borderId="17" xfId="0" applyNumberFormat="1" applyFont="1" applyFill="1" applyBorder="1" applyAlignment="1">
      <alignment horizontal="right"/>
    </xf>
    <xf numFmtId="9" fontId="0" fillId="0" borderId="13" xfId="60" applyFont="1" applyBorder="1" applyAlignment="1">
      <alignment horizontal="right"/>
    </xf>
    <xf numFmtId="43" fontId="0" fillId="0" borderId="13" xfId="0" applyNumberFormat="1" applyFont="1" applyFill="1" applyBorder="1" applyAlignment="1">
      <alignment/>
    </xf>
    <xf numFmtId="1" fontId="0" fillId="0" borderId="0" xfId="42" applyNumberFormat="1" applyFont="1" applyFill="1" applyBorder="1" applyAlignment="1">
      <alignment/>
    </xf>
    <xf numFmtId="2" fontId="0" fillId="0" borderId="13" xfId="60" applyNumberFormat="1" applyFont="1" applyFill="1" applyBorder="1" applyAlignment="1">
      <alignment/>
    </xf>
    <xf numFmtId="166" fontId="0" fillId="0" borderId="0" xfId="0" applyNumberFormat="1" applyFont="1" applyFill="1" applyAlignment="1">
      <alignment/>
    </xf>
    <xf numFmtId="170" fontId="0" fillId="0" borderId="42" xfId="0" applyNumberFormat="1" applyFont="1" applyFill="1" applyBorder="1" applyAlignment="1">
      <alignment/>
    </xf>
    <xf numFmtId="2" fontId="0" fillId="0" borderId="27" xfId="60" applyNumberFormat="1" applyFont="1" applyFill="1" applyBorder="1" applyAlignment="1">
      <alignment/>
    </xf>
    <xf numFmtId="170" fontId="0" fillId="0" borderId="12" xfId="0" applyNumberFormat="1" applyFont="1" applyFill="1" applyBorder="1" applyAlignment="1">
      <alignment/>
    </xf>
    <xf numFmtId="0" fontId="77" fillId="0" borderId="19" xfId="0" applyFont="1" applyFill="1" applyBorder="1" applyAlignment="1">
      <alignment/>
    </xf>
    <xf numFmtId="164" fontId="0" fillId="0" borderId="19" xfId="0" applyNumberFormat="1" applyFont="1" applyFill="1" applyBorder="1" applyAlignment="1">
      <alignment/>
    </xf>
    <xf numFmtId="164" fontId="0" fillId="0" borderId="18" xfId="0" applyNumberFormat="1" applyFont="1" applyFill="1" applyBorder="1" applyAlignment="1">
      <alignment/>
    </xf>
    <xf numFmtId="43" fontId="0" fillId="0" borderId="0" xfId="42" applyNumberFormat="1" applyFont="1" applyAlignment="1">
      <alignment horizontal="right"/>
    </xf>
    <xf numFmtId="164" fontId="0" fillId="0" borderId="0" xfId="42" applyNumberFormat="1" applyFont="1" applyFill="1" applyBorder="1" applyAlignment="1">
      <alignment/>
    </xf>
    <xf numFmtId="43" fontId="0" fillId="0" borderId="0" xfId="42" applyNumberFormat="1" applyFont="1" applyFill="1" applyBorder="1" applyAlignment="1">
      <alignment/>
    </xf>
    <xf numFmtId="170" fontId="4" fillId="0" borderId="0" xfId="0" applyNumberFormat="1" applyFont="1" applyFill="1" applyAlignment="1">
      <alignment/>
    </xf>
    <xf numFmtId="0" fontId="4" fillId="0" borderId="0" xfId="0" applyFont="1" applyFill="1" applyAlignment="1">
      <alignment/>
    </xf>
    <xf numFmtId="2" fontId="4" fillId="0" borderId="15" xfId="0" applyNumberFormat="1" applyFont="1" applyFill="1" applyBorder="1" applyAlignment="1">
      <alignment/>
    </xf>
    <xf numFmtId="166" fontId="0" fillId="0" borderId="0" xfId="42" applyNumberFormat="1" applyFont="1" applyFill="1" applyBorder="1" applyAlignment="1">
      <alignment horizontal="center" vertical="center" wrapText="1"/>
    </xf>
    <xf numFmtId="9" fontId="0" fillId="0" borderId="0" xfId="60" applyFont="1" applyFill="1" applyBorder="1" applyAlignment="1">
      <alignment horizontal="right" vertical="center" wrapText="1"/>
    </xf>
    <xf numFmtId="166" fontId="0" fillId="0" borderId="12" xfId="42" applyNumberFormat="1" applyFont="1" applyBorder="1" applyAlignment="1">
      <alignment/>
    </xf>
    <xf numFmtId="9" fontId="0" fillId="0" borderId="12" xfId="60" applyFont="1" applyBorder="1" applyAlignment="1">
      <alignment/>
    </xf>
    <xf numFmtId="167" fontId="0" fillId="0" borderId="0" xfId="42" applyNumberFormat="1" applyFont="1" applyAlignment="1">
      <alignment/>
    </xf>
    <xf numFmtId="0" fontId="0" fillId="0" borderId="12" xfId="0" applyFont="1" applyBorder="1" applyAlignment="1">
      <alignment vertical="top"/>
    </xf>
    <xf numFmtId="0" fontId="0" fillId="0" borderId="50" xfId="0" applyFont="1" applyBorder="1" applyAlignment="1">
      <alignment horizontal="left" indent="1"/>
    </xf>
    <xf numFmtId="43" fontId="0" fillId="0" borderId="50" xfId="42" applyFont="1" applyBorder="1" applyAlignment="1">
      <alignment/>
    </xf>
    <xf numFmtId="9" fontId="0" fillId="0" borderId="50" xfId="60" applyFont="1" applyBorder="1" applyAlignment="1">
      <alignment/>
    </xf>
    <xf numFmtId="0" fontId="0" fillId="0" borderId="50" xfId="0" applyFont="1" applyBorder="1" applyAlignment="1">
      <alignment/>
    </xf>
    <xf numFmtId="170" fontId="0" fillId="0" borderId="50" xfId="0" applyNumberFormat="1" applyFont="1" applyFill="1" applyBorder="1" applyAlignment="1">
      <alignment/>
    </xf>
    <xf numFmtId="0" fontId="0" fillId="0" borderId="51" xfId="0" applyFont="1" applyBorder="1" applyAlignment="1">
      <alignment/>
    </xf>
    <xf numFmtId="43" fontId="0" fillId="0" borderId="51" xfId="0" applyNumberFormat="1" applyFont="1" applyBorder="1" applyAlignment="1">
      <alignment/>
    </xf>
    <xf numFmtId="43" fontId="0" fillId="0" borderId="11" xfId="0" applyNumberFormat="1" applyFont="1" applyBorder="1" applyAlignment="1">
      <alignment/>
    </xf>
    <xf numFmtId="0" fontId="0" fillId="0" borderId="12" xfId="0" applyFont="1" applyFill="1" applyBorder="1" applyAlignment="1">
      <alignment horizontal="left" indent="1"/>
    </xf>
    <xf numFmtId="43" fontId="0" fillId="0" borderId="19" xfId="0" applyNumberFormat="1" applyFont="1" applyFill="1" applyBorder="1" applyAlignment="1">
      <alignment horizontal="left" indent="1"/>
    </xf>
    <xf numFmtId="43" fontId="0" fillId="0" borderId="0" xfId="0" applyNumberFormat="1" applyFont="1" applyFill="1" applyBorder="1" applyAlignment="1">
      <alignment horizontal="left" indent="1"/>
    </xf>
    <xf numFmtId="9" fontId="0" fillId="0" borderId="19" xfId="60" applyFont="1" applyFill="1" applyBorder="1" applyAlignment="1">
      <alignment horizontal="center"/>
    </xf>
    <xf numFmtId="43" fontId="0" fillId="0" borderId="19" xfId="42" applyFont="1" applyFill="1" applyBorder="1" applyAlignment="1">
      <alignment/>
    </xf>
    <xf numFmtId="0" fontId="0" fillId="0" borderId="0" xfId="0" applyFont="1" applyFill="1" applyBorder="1" applyAlignment="1">
      <alignment horizontal="left" indent="1"/>
    </xf>
    <xf numFmtId="43" fontId="0" fillId="0" borderId="13" xfId="0" applyNumberFormat="1" applyFont="1" applyFill="1" applyBorder="1" applyAlignment="1">
      <alignment horizontal="left" indent="1"/>
    </xf>
    <xf numFmtId="9" fontId="0" fillId="0" borderId="13" xfId="60" applyFont="1" applyFill="1" applyBorder="1" applyAlignment="1">
      <alignment horizontal="center"/>
    </xf>
    <xf numFmtId="43" fontId="0" fillId="0" borderId="13" xfId="42" applyFont="1" applyFill="1" applyBorder="1" applyAlignment="1">
      <alignment/>
    </xf>
    <xf numFmtId="9" fontId="0" fillId="0" borderId="17" xfId="60" applyFont="1" applyFill="1" applyBorder="1" applyAlignment="1">
      <alignment horizontal="center"/>
    </xf>
    <xf numFmtId="49" fontId="0" fillId="0" borderId="13" xfId="0" applyNumberFormat="1" applyFont="1" applyFill="1" applyBorder="1" applyAlignment="1">
      <alignment horizontal="right"/>
    </xf>
    <xf numFmtId="49" fontId="0" fillId="0" borderId="0" xfId="0" applyNumberFormat="1" applyFont="1" applyFill="1" applyBorder="1" applyAlignment="1">
      <alignment horizontal="right"/>
    </xf>
    <xf numFmtId="49" fontId="0" fillId="0" borderId="17" xfId="0" applyNumberFormat="1" applyFont="1" applyFill="1" applyBorder="1" applyAlignment="1">
      <alignment horizontal="center"/>
    </xf>
    <xf numFmtId="9" fontId="0" fillId="0" borderId="13" xfId="60" applyFont="1" applyBorder="1" applyAlignment="1">
      <alignment/>
    </xf>
    <xf numFmtId="43" fontId="0" fillId="0" borderId="13" xfId="42" applyNumberFormat="1" applyFont="1" applyFill="1" applyBorder="1" applyAlignment="1">
      <alignment horizontal="right"/>
    </xf>
    <xf numFmtId="0" fontId="0" fillId="0" borderId="14" xfId="0" applyFont="1" applyFill="1" applyBorder="1" applyAlignment="1">
      <alignment/>
    </xf>
    <xf numFmtId="43" fontId="0" fillId="0" borderId="22" xfId="0" applyNumberFormat="1" applyFont="1" applyFill="1" applyBorder="1" applyAlignment="1">
      <alignment/>
    </xf>
    <xf numFmtId="43" fontId="0" fillId="0" borderId="14" xfId="0" applyNumberFormat="1" applyFont="1" applyFill="1" applyBorder="1" applyAlignment="1">
      <alignment/>
    </xf>
    <xf numFmtId="9" fontId="0" fillId="0" borderId="15" xfId="60" applyFont="1" applyFill="1" applyBorder="1" applyAlignment="1">
      <alignment horizontal="center"/>
    </xf>
    <xf numFmtId="43" fontId="0" fillId="0" borderId="14" xfId="42" applyFont="1" applyFill="1" applyBorder="1" applyAlignment="1">
      <alignment/>
    </xf>
    <xf numFmtId="170" fontId="0" fillId="0" borderId="22" xfId="0" applyNumberFormat="1" applyFill="1" applyBorder="1" applyAlignment="1">
      <alignment/>
    </xf>
    <xf numFmtId="0" fontId="0" fillId="0" borderId="52" xfId="0" applyFont="1" applyBorder="1" applyAlignment="1">
      <alignment/>
    </xf>
    <xf numFmtId="43" fontId="0" fillId="0" borderId="53" xfId="0" applyNumberFormat="1" applyFont="1" applyBorder="1" applyAlignment="1">
      <alignment/>
    </xf>
    <xf numFmtId="43" fontId="0" fillId="0" borderId="52" xfId="0" applyNumberFormat="1" applyFont="1" applyBorder="1" applyAlignment="1">
      <alignment/>
    </xf>
    <xf numFmtId="43" fontId="0" fillId="0" borderId="54" xfId="0" applyNumberFormat="1" applyFont="1" applyBorder="1" applyAlignment="1">
      <alignment/>
    </xf>
    <xf numFmtId="2" fontId="0" fillId="0" borderId="53" xfId="0" applyNumberFormat="1" applyFont="1" applyBorder="1" applyAlignment="1">
      <alignment/>
    </xf>
    <xf numFmtId="43" fontId="0" fillId="0" borderId="52" xfId="42" applyFont="1" applyBorder="1" applyAlignment="1">
      <alignment/>
    </xf>
    <xf numFmtId="170" fontId="0" fillId="0" borderId="52" xfId="0" applyNumberFormat="1" applyFont="1" applyBorder="1" applyAlignment="1">
      <alignment/>
    </xf>
    <xf numFmtId="9" fontId="0" fillId="0" borderId="54" xfId="60" applyFont="1" applyBorder="1" applyAlignment="1">
      <alignment/>
    </xf>
    <xf numFmtId="170" fontId="0" fillId="0" borderId="53" xfId="0" applyNumberFormat="1" applyBorder="1" applyAlignment="1">
      <alignment/>
    </xf>
    <xf numFmtId="164" fontId="0" fillId="0" borderId="55" xfId="42" applyNumberFormat="1" applyFont="1" applyBorder="1" applyAlignment="1">
      <alignment/>
    </xf>
    <xf numFmtId="164" fontId="0" fillId="0" borderId="53" xfId="42" applyNumberFormat="1" applyFont="1" applyBorder="1" applyAlignment="1">
      <alignment/>
    </xf>
    <xf numFmtId="164" fontId="0" fillId="0" borderId="52" xfId="42" applyNumberFormat="1" applyFont="1" applyBorder="1" applyAlignment="1">
      <alignment/>
    </xf>
    <xf numFmtId="2" fontId="0" fillId="0" borderId="53" xfId="0" applyNumberFormat="1" applyBorder="1" applyAlignment="1">
      <alignment/>
    </xf>
    <xf numFmtId="0" fontId="2" fillId="0" borderId="0" xfId="0" applyFont="1" applyFill="1" applyBorder="1" applyAlignment="1">
      <alignment horizontal="left"/>
    </xf>
    <xf numFmtId="43" fontId="0" fillId="0" borderId="13" xfId="0" applyNumberFormat="1" applyFont="1" applyFill="1" applyBorder="1" applyAlignment="1">
      <alignment horizontal="left"/>
    </xf>
    <xf numFmtId="43" fontId="0" fillId="0" borderId="0" xfId="0" applyNumberFormat="1" applyFont="1" applyFill="1" applyBorder="1" applyAlignment="1">
      <alignment horizontal="left"/>
    </xf>
    <xf numFmtId="43" fontId="0" fillId="0" borderId="17" xfId="0" applyNumberFormat="1" applyFont="1" applyFill="1" applyBorder="1" applyAlignment="1">
      <alignment horizontal="left"/>
    </xf>
    <xf numFmtId="3" fontId="0" fillId="0" borderId="28" xfId="0" applyNumberFormat="1" applyFont="1" applyFill="1" applyBorder="1" applyAlignment="1">
      <alignment/>
    </xf>
    <xf numFmtId="3" fontId="0" fillId="0" borderId="18" xfId="0" applyNumberFormat="1" applyFont="1" applyFill="1" applyBorder="1" applyAlignment="1">
      <alignment/>
    </xf>
    <xf numFmtId="164" fontId="0" fillId="0" borderId="0" xfId="42" applyNumberFormat="1" applyFont="1" applyAlignment="1">
      <alignment horizontal="left" indent="2"/>
    </xf>
    <xf numFmtId="0" fontId="0" fillId="0" borderId="0" xfId="42" applyNumberFormat="1" applyFont="1" applyAlignment="1">
      <alignment horizontal="left" indent="1"/>
    </xf>
    <xf numFmtId="0" fontId="0" fillId="0" borderId="0" xfId="42" applyNumberFormat="1" applyFont="1" applyAlignment="1">
      <alignment horizontal="left" indent="2"/>
    </xf>
    <xf numFmtId="0" fontId="0" fillId="0" borderId="0" xfId="42" applyNumberFormat="1" applyFont="1" applyAlignment="1">
      <alignment horizontal="right"/>
    </xf>
    <xf numFmtId="49" fontId="0" fillId="0" borderId="15" xfId="42" applyNumberFormat="1" applyFont="1" applyBorder="1" applyAlignment="1">
      <alignment horizontal="center" vertical="center" wrapText="1"/>
    </xf>
    <xf numFmtId="49" fontId="0" fillId="0" borderId="15" xfId="42" applyNumberFormat="1" applyFont="1" applyBorder="1" applyAlignment="1">
      <alignment horizontal="center" vertical="center"/>
    </xf>
    <xf numFmtId="0" fontId="0" fillId="0" borderId="0" xfId="0" applyFont="1" applyAlignment="1">
      <alignment horizontal="right" vertical="center"/>
    </xf>
    <xf numFmtId="2" fontId="0" fillId="0" borderId="0" xfId="0" applyNumberFormat="1" applyFont="1" applyAlignment="1">
      <alignment horizontal="right" vertical="center"/>
    </xf>
    <xf numFmtId="0" fontId="0" fillId="0" borderId="0" xfId="0" applyFill="1" applyBorder="1" applyAlignment="1">
      <alignment horizontal="left" indent="1"/>
    </xf>
    <xf numFmtId="164" fontId="0" fillId="0" borderId="12" xfId="42" applyNumberFormat="1" applyFont="1" applyBorder="1" applyAlignment="1">
      <alignment/>
    </xf>
    <xf numFmtId="0" fontId="78" fillId="0" borderId="0" xfId="42" applyNumberFormat="1" applyFont="1" applyAlignment="1">
      <alignment/>
    </xf>
    <xf numFmtId="0" fontId="9" fillId="0" borderId="0" xfId="42" applyNumberFormat="1" applyFont="1" applyAlignment="1">
      <alignment/>
    </xf>
    <xf numFmtId="0" fontId="0" fillId="0" borderId="15" xfId="0" applyFont="1" applyFill="1" applyBorder="1" applyAlignment="1">
      <alignment horizontal="right"/>
    </xf>
    <xf numFmtId="177" fontId="0" fillId="0" borderId="0" xfId="0" applyNumberFormat="1" applyFont="1" applyAlignment="1">
      <alignment/>
    </xf>
    <xf numFmtId="170" fontId="0" fillId="0" borderId="15" xfId="0" applyNumberFormat="1" applyFont="1" applyBorder="1" applyAlignment="1">
      <alignment/>
    </xf>
    <xf numFmtId="49" fontId="0" fillId="0" borderId="12" xfId="42" applyNumberFormat="1" applyFont="1" applyBorder="1" applyAlignment="1">
      <alignment/>
    </xf>
    <xf numFmtId="164" fontId="0" fillId="0" borderId="0" xfId="42" applyNumberFormat="1" applyFont="1" applyAlignment="1">
      <alignment horizontal="center" vertical="center"/>
    </xf>
    <xf numFmtId="164" fontId="0" fillId="0" borderId="15" xfId="42" applyNumberFormat="1" applyFont="1" applyBorder="1" applyAlignment="1">
      <alignment horizontal="center" vertical="center" wrapText="1"/>
    </xf>
    <xf numFmtId="164" fontId="0" fillId="0" borderId="0" xfId="42" applyNumberFormat="1" applyFont="1" applyBorder="1" applyAlignment="1">
      <alignment horizontal="center" vertical="center"/>
    </xf>
    <xf numFmtId="2" fontId="0" fillId="0" borderId="0" xfId="0" applyNumberFormat="1" applyFill="1" applyBorder="1" applyAlignment="1">
      <alignment/>
    </xf>
    <xf numFmtId="170" fontId="0" fillId="0" borderId="0" xfId="0" applyNumberFormat="1" applyFill="1" applyBorder="1" applyAlignment="1">
      <alignment/>
    </xf>
    <xf numFmtId="0" fontId="0" fillId="0" borderId="0" xfId="0" applyFill="1" applyAlignment="1">
      <alignment/>
    </xf>
    <xf numFmtId="2" fontId="0" fillId="0" borderId="0" xfId="0" applyNumberFormat="1" applyFill="1" applyAlignment="1">
      <alignment/>
    </xf>
    <xf numFmtId="9" fontId="0" fillId="0" borderId="0" xfId="60" applyFont="1" applyFill="1" applyAlignment="1">
      <alignment horizontal="left" vertical="top" wrapText="1"/>
    </xf>
    <xf numFmtId="1" fontId="0" fillId="0" borderId="0" xfId="0" applyNumberForma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indent="1"/>
    </xf>
    <xf numFmtId="0" fontId="0" fillId="0" borderId="0" xfId="0" applyFont="1" applyAlignment="1">
      <alignment horizontal="left" vertical="top" indent="1"/>
    </xf>
    <xf numFmtId="164" fontId="0" fillId="0" borderId="0" xfId="42" applyNumberFormat="1" applyFont="1" applyFill="1" applyAlignment="1">
      <alignment horizontal="left" vertical="top"/>
    </xf>
    <xf numFmtId="164" fontId="0" fillId="0" borderId="0" xfId="42" applyNumberFormat="1" applyFont="1" applyFill="1" applyAlignment="1">
      <alignment horizontal="left" vertical="top" wrapText="1"/>
    </xf>
    <xf numFmtId="9" fontId="0" fillId="0" borderId="15" xfId="60" applyFont="1" applyFill="1" applyBorder="1" applyAlignment="1">
      <alignment horizontal="center" vertical="center" wrapText="1"/>
    </xf>
    <xf numFmtId="164" fontId="0" fillId="0" borderId="0" xfId="42" applyNumberFormat="1" applyFont="1" applyAlignment="1">
      <alignment horizontal="left" vertical="top" wrapText="1"/>
    </xf>
    <xf numFmtId="166" fontId="0" fillId="0" borderId="0" xfId="0" applyNumberFormat="1" applyAlignment="1">
      <alignment horizontal="left" vertical="top"/>
    </xf>
    <xf numFmtId="49" fontId="0" fillId="0" borderId="15" xfId="42" applyNumberFormat="1" applyFont="1" applyFill="1" applyBorder="1" applyAlignment="1">
      <alignment horizontal="center" vertical="center"/>
    </xf>
    <xf numFmtId="0" fontId="0" fillId="33" borderId="0" xfId="0" applyFont="1" applyFill="1" applyAlignment="1">
      <alignment/>
    </xf>
    <xf numFmtId="0" fontId="78" fillId="0" borderId="0" xfId="0" applyFont="1" applyAlignment="1">
      <alignment vertical="top" wrapText="1"/>
    </xf>
    <xf numFmtId="0" fontId="0" fillId="0" borderId="0" xfId="0" applyFont="1" applyAlignment="1">
      <alignment horizontal="right" vertical="top" wrapText="1"/>
    </xf>
    <xf numFmtId="164" fontId="0" fillId="0" borderId="0" xfId="42" applyNumberFormat="1" applyFont="1" applyAlignment="1">
      <alignment/>
    </xf>
    <xf numFmtId="43" fontId="0" fillId="0" borderId="0" xfId="0" applyNumberFormat="1" applyFont="1" applyAlignment="1">
      <alignment vertical="top" wrapText="1"/>
    </xf>
    <xf numFmtId="0" fontId="0" fillId="0" borderId="0" xfId="0" applyFont="1" applyFill="1" applyAlignment="1">
      <alignment vertical="top" wrapText="1"/>
    </xf>
    <xf numFmtId="0" fontId="0" fillId="0" borderId="0" xfId="0" applyFont="1" applyFill="1" applyAlignment="1">
      <alignment horizontal="right" wrapText="1"/>
    </xf>
    <xf numFmtId="0" fontId="0" fillId="0" borderId="0" xfId="0" applyFont="1" applyFill="1" applyAlignment="1">
      <alignment/>
    </xf>
    <xf numFmtId="0" fontId="0" fillId="0" borderId="0" xfId="0" applyFont="1" applyFill="1" applyAlignment="1">
      <alignment wrapText="1"/>
    </xf>
    <xf numFmtId="170" fontId="0" fillId="0" borderId="0" xfId="0" applyNumberFormat="1" applyFont="1" applyAlignment="1">
      <alignment vertical="top" wrapText="1"/>
    </xf>
    <xf numFmtId="1" fontId="0" fillId="0" borderId="0" xfId="0" applyNumberFormat="1" applyFont="1" applyFill="1" applyAlignment="1">
      <alignment wrapText="1"/>
    </xf>
    <xf numFmtId="2" fontId="0" fillId="0" borderId="0" xfId="0" applyNumberFormat="1" applyFont="1" applyAlignment="1">
      <alignment wrapText="1"/>
    </xf>
    <xf numFmtId="0" fontId="89" fillId="0" borderId="0" xfId="0" applyFont="1" applyAlignment="1">
      <alignment/>
    </xf>
    <xf numFmtId="164" fontId="0" fillId="0" borderId="0" xfId="0" applyNumberFormat="1" applyFont="1" applyAlignment="1">
      <alignment wrapText="1"/>
    </xf>
    <xf numFmtId="43" fontId="0" fillId="0" borderId="0" xfId="0" applyNumberFormat="1" applyFont="1" applyAlignment="1">
      <alignment wrapText="1"/>
    </xf>
    <xf numFmtId="0" fontId="0" fillId="0" borderId="0" xfId="0" applyFont="1" applyAlignment="1">
      <alignment horizontal="left" wrapText="1"/>
    </xf>
    <xf numFmtId="0" fontId="9" fillId="0" borderId="0" xfId="0" applyFont="1" applyAlignment="1">
      <alignment wrapText="1"/>
    </xf>
    <xf numFmtId="164" fontId="0" fillId="0" borderId="0" xfId="42" applyNumberFormat="1" applyFont="1" applyBorder="1" applyAlignment="1">
      <alignment horizontal="center" vertical="center" wrapText="1"/>
    </xf>
    <xf numFmtId="170" fontId="0" fillId="0" borderId="15" xfId="0" applyNumberFormat="1" applyFont="1" applyFill="1" applyBorder="1" applyAlignment="1">
      <alignment vertical="top" wrapText="1"/>
    </xf>
    <xf numFmtId="164" fontId="0" fillId="0" borderId="0" xfId="42" applyNumberFormat="1" applyFont="1" applyFill="1" applyAlignment="1">
      <alignment wrapText="1"/>
    </xf>
    <xf numFmtId="164" fontId="0" fillId="0" borderId="0" xfId="42" applyNumberFormat="1" applyFont="1" applyFill="1" applyAlignment="1">
      <alignment vertical="top" wrapText="1"/>
    </xf>
    <xf numFmtId="43" fontId="0" fillId="0" borderId="0" xfId="42" applyNumberFormat="1" applyFont="1" applyFill="1" applyAlignment="1">
      <alignment wrapText="1"/>
    </xf>
    <xf numFmtId="0" fontId="0" fillId="0" borderId="0" xfId="0" applyFont="1" applyAlignment="1">
      <alignment horizontal="left" vertical="top" wrapText="1" indent="2"/>
    </xf>
    <xf numFmtId="164" fontId="0" fillId="0" borderId="0" xfId="0" applyNumberFormat="1" applyFont="1" applyAlignment="1">
      <alignment horizontal="left" wrapText="1" indent="1"/>
    </xf>
    <xf numFmtId="43" fontId="0" fillId="0" borderId="0" xfId="42" applyNumberFormat="1" applyFont="1" applyAlignment="1">
      <alignment wrapText="1"/>
    </xf>
    <xf numFmtId="164" fontId="0" fillId="0" borderId="0" xfId="0" applyNumberFormat="1" applyFont="1" applyAlignment="1">
      <alignment/>
    </xf>
    <xf numFmtId="0" fontId="0" fillId="0" borderId="0" xfId="0" applyFont="1" applyAlignment="1">
      <alignment horizontal="center" vertical="center" wrapText="1"/>
    </xf>
    <xf numFmtId="0" fontId="0" fillId="33" borderId="0" xfId="0" applyFill="1" applyAlignment="1">
      <alignment horizontal="left" vertical="top" wrapText="1"/>
    </xf>
    <xf numFmtId="0" fontId="0" fillId="33" borderId="0" xfId="0" applyFont="1" applyFill="1" applyBorder="1" applyAlignment="1">
      <alignment/>
    </xf>
    <xf numFmtId="43" fontId="0" fillId="0" borderId="0" xfId="0" applyNumberFormat="1" applyFill="1" applyBorder="1" applyAlignment="1">
      <alignment/>
    </xf>
    <xf numFmtId="43" fontId="0" fillId="0" borderId="0" xfId="42" applyNumberFormat="1" applyFont="1" applyFill="1" applyBorder="1" applyAlignment="1">
      <alignment/>
    </xf>
    <xf numFmtId="0" fontId="1" fillId="0" borderId="15" xfId="0" applyFont="1" applyFill="1" applyBorder="1" applyAlignment="1">
      <alignment horizontal="center" vertical="center"/>
    </xf>
    <xf numFmtId="164" fontId="0" fillId="0" borderId="0" xfId="42" applyNumberFormat="1" applyFont="1" applyBorder="1" applyAlignment="1">
      <alignment horizontal="right"/>
    </xf>
    <xf numFmtId="165" fontId="0" fillId="0" borderId="0" xfId="60" applyNumberFormat="1" applyFont="1" applyAlignment="1">
      <alignment horizontal="right"/>
    </xf>
    <xf numFmtId="170" fontId="0" fillId="0" borderId="12" xfId="0" applyNumberFormat="1" applyBorder="1" applyAlignment="1">
      <alignment/>
    </xf>
    <xf numFmtId="166" fontId="0" fillId="0" borderId="19" xfId="42" applyNumberFormat="1" applyFont="1" applyBorder="1" applyAlignment="1">
      <alignment/>
    </xf>
    <xf numFmtId="166" fontId="0" fillId="0" borderId="13" xfId="42" applyNumberFormat="1" applyFont="1" applyBorder="1" applyAlignment="1">
      <alignment/>
    </xf>
    <xf numFmtId="10" fontId="0" fillId="0" borderId="0" xfId="60" applyNumberFormat="1" applyFont="1" applyBorder="1" applyAlignment="1">
      <alignment/>
    </xf>
    <xf numFmtId="170" fontId="0" fillId="0" borderId="29" xfId="0" applyNumberFormat="1" applyFont="1" applyBorder="1" applyAlignment="1">
      <alignment/>
    </xf>
    <xf numFmtId="170" fontId="0" fillId="0" borderId="30" xfId="0" applyNumberFormat="1" applyFont="1" applyBorder="1" applyAlignment="1">
      <alignment/>
    </xf>
    <xf numFmtId="170" fontId="0" fillId="0" borderId="56" xfId="0" applyNumberFormat="1" applyFont="1" applyBorder="1" applyAlignment="1">
      <alignment/>
    </xf>
    <xf numFmtId="43" fontId="0" fillId="0" borderId="0" xfId="0" applyNumberFormat="1" applyFont="1" applyBorder="1" applyAlignment="1">
      <alignment horizontal="center" vertical="center"/>
    </xf>
    <xf numFmtId="164" fontId="0" fillId="0" borderId="0" xfId="42"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70" fontId="2" fillId="0" borderId="0" xfId="0" applyNumberFormat="1" applyFont="1" applyFill="1" applyBorder="1" applyAlignment="1">
      <alignment horizontal="right"/>
    </xf>
    <xf numFmtId="0" fontId="0" fillId="0" borderId="0" xfId="0" applyFont="1" applyAlignment="1">
      <alignment horizontal="left" vertical="center"/>
    </xf>
    <xf numFmtId="169" fontId="0" fillId="0" borderId="0" xfId="0" applyNumberFormat="1" applyAlignment="1">
      <alignment/>
    </xf>
    <xf numFmtId="43" fontId="0" fillId="0" borderId="12" xfId="42" applyNumberFormat="1" applyFont="1" applyBorder="1" applyAlignment="1">
      <alignment/>
    </xf>
    <xf numFmtId="0" fontId="0" fillId="0" borderId="10" xfId="0" applyFont="1" applyFill="1" applyBorder="1" applyAlignment="1">
      <alignment/>
    </xf>
    <xf numFmtId="170" fontId="0" fillId="0" borderId="27" xfId="42" applyNumberFormat="1" applyFont="1" applyBorder="1" applyAlignment="1">
      <alignment/>
    </xf>
    <xf numFmtId="43" fontId="0" fillId="0" borderId="0" xfId="42" applyNumberFormat="1" applyFont="1" applyBorder="1" applyAlignment="1">
      <alignment horizontal="right" vertical="center"/>
    </xf>
    <xf numFmtId="166" fontId="0" fillId="0" borderId="0" xfId="42" applyNumberFormat="1" applyFont="1" applyFill="1" applyAlignment="1">
      <alignment/>
    </xf>
    <xf numFmtId="2" fontId="0" fillId="0" borderId="0" xfId="42" applyNumberFormat="1" applyFont="1" applyAlignment="1">
      <alignment horizontal="right"/>
    </xf>
    <xf numFmtId="0" fontId="79" fillId="0" borderId="0" xfId="0" applyFont="1" applyFill="1" applyBorder="1" applyAlignment="1">
      <alignment/>
    </xf>
    <xf numFmtId="0" fontId="2" fillId="0" borderId="0" xfId="0" applyFont="1" applyFill="1" applyAlignment="1">
      <alignment/>
    </xf>
    <xf numFmtId="0" fontId="90" fillId="0" borderId="0" xfId="0" applyFont="1" applyFill="1" applyAlignment="1">
      <alignment/>
    </xf>
    <xf numFmtId="164" fontId="0" fillId="0" borderId="0" xfId="42" applyNumberFormat="1" applyFont="1" applyFill="1" applyAlignment="1">
      <alignment horizontal="right"/>
    </xf>
    <xf numFmtId="164" fontId="0" fillId="0" borderId="0" xfId="42" applyNumberFormat="1" applyFont="1" applyFill="1" applyAlignment="1">
      <alignment horizontal="right"/>
    </xf>
    <xf numFmtId="164" fontId="0" fillId="0" borderId="0" xfId="0" applyNumberFormat="1" applyFont="1" applyFill="1" applyAlignment="1">
      <alignment horizontal="right"/>
    </xf>
    <xf numFmtId="164" fontId="0" fillId="0" borderId="0" xfId="0" applyNumberFormat="1" applyFont="1" applyFill="1" applyBorder="1" applyAlignment="1" quotePrefix="1">
      <alignment horizontal="right"/>
    </xf>
    <xf numFmtId="198" fontId="0" fillId="0" borderId="12" xfId="0" applyNumberFormat="1" applyFill="1" applyBorder="1" applyAlignment="1">
      <alignment/>
    </xf>
    <xf numFmtId="0" fontId="77" fillId="0" borderId="12" xfId="0" applyFont="1" applyFill="1" applyBorder="1" applyAlignment="1">
      <alignment/>
    </xf>
    <xf numFmtId="0" fontId="5" fillId="0" borderId="0" xfId="0" applyFont="1" applyBorder="1" applyAlignment="1">
      <alignment horizontal="right"/>
    </xf>
    <xf numFmtId="171" fontId="0" fillId="0" borderId="0" xfId="0" applyNumberFormat="1" applyBorder="1" applyAlignment="1">
      <alignment horizontal="right"/>
    </xf>
    <xf numFmtId="43" fontId="5" fillId="0" borderId="0" xfId="0" applyNumberFormat="1" applyFont="1" applyFill="1" applyAlignment="1">
      <alignment horizontal="right"/>
    </xf>
    <xf numFmtId="0" fontId="5" fillId="0" borderId="0" xfId="0" applyFont="1" applyFill="1" applyAlignment="1">
      <alignment horizontal="right"/>
    </xf>
    <xf numFmtId="2" fontId="0" fillId="0" borderId="27" xfId="0" applyNumberFormat="1" applyFont="1" applyBorder="1" applyAlignment="1">
      <alignment/>
    </xf>
    <xf numFmtId="43" fontId="0" fillId="0" borderId="0" xfId="42" applyNumberFormat="1" applyFont="1" applyAlignment="1">
      <alignment horizontal="right"/>
    </xf>
    <xf numFmtId="166" fontId="0" fillId="0" borderId="0" xfId="0" applyNumberFormat="1" applyFill="1" applyAlignment="1">
      <alignment/>
    </xf>
    <xf numFmtId="170" fontId="0" fillId="0" borderId="0" xfId="0" applyNumberFormat="1" applyAlignment="1">
      <alignment/>
    </xf>
    <xf numFmtId="9" fontId="0" fillId="0" borderId="0" xfId="0" applyNumberFormat="1" applyAlignment="1">
      <alignment/>
    </xf>
    <xf numFmtId="2" fontId="0" fillId="0" borderId="0" xfId="60" applyNumberFormat="1" applyFont="1" applyFill="1" applyBorder="1" applyAlignment="1">
      <alignment/>
    </xf>
    <xf numFmtId="171" fontId="56" fillId="0" borderId="0" xfId="57" applyNumberFormat="1" applyFont="1" applyFill="1">
      <alignment/>
      <protection/>
    </xf>
    <xf numFmtId="171" fontId="56" fillId="0" borderId="0" xfId="57" applyNumberFormat="1" applyFont="1" applyFill="1" applyBorder="1">
      <alignment/>
      <protection/>
    </xf>
    <xf numFmtId="171" fontId="0" fillId="0" borderId="12" xfId="0" applyNumberFormat="1" applyFont="1" applyBorder="1" applyAlignment="1">
      <alignment/>
    </xf>
    <xf numFmtId="43" fontId="0" fillId="0" borderId="0" xfId="0" applyNumberFormat="1" applyAlignment="1">
      <alignment horizontal="right"/>
    </xf>
    <xf numFmtId="43" fontId="2" fillId="0" borderId="0" xfId="42" applyNumberFormat="1" applyFont="1" applyAlignment="1">
      <alignment horizontal="right"/>
    </xf>
    <xf numFmtId="43" fontId="2" fillId="0" borderId="26" xfId="42" applyNumberFormat="1" applyFont="1" applyBorder="1" applyAlignment="1">
      <alignment/>
    </xf>
    <xf numFmtId="165" fontId="0" fillId="0" borderId="0" xfId="0" applyNumberFormat="1" applyFont="1" applyFill="1" applyBorder="1" applyAlignment="1">
      <alignment horizontal="right" vertical="center"/>
    </xf>
    <xf numFmtId="4" fontId="0" fillId="0" borderId="0" xfId="0" applyNumberFormat="1" applyAlignment="1">
      <alignment/>
    </xf>
    <xf numFmtId="43" fontId="0" fillId="0" borderId="11" xfId="42" applyFont="1" applyFill="1" applyBorder="1" applyAlignment="1">
      <alignment/>
    </xf>
    <xf numFmtId="0" fontId="0" fillId="0" borderId="0" xfId="42" applyNumberFormat="1" applyFont="1" applyFill="1" applyAlignment="1">
      <alignment/>
    </xf>
    <xf numFmtId="164" fontId="0" fillId="0" borderId="0" xfId="42" applyNumberFormat="1" applyFont="1" applyFill="1" applyBorder="1" applyAlignment="1">
      <alignment/>
    </xf>
    <xf numFmtId="164" fontId="0" fillId="0" borderId="11" xfId="42" applyNumberFormat="1" applyFont="1" applyFill="1" applyBorder="1" applyAlignment="1">
      <alignment/>
    </xf>
    <xf numFmtId="164" fontId="0" fillId="0" borderId="11" xfId="42" applyNumberFormat="1" applyFont="1" applyBorder="1" applyAlignment="1">
      <alignment/>
    </xf>
    <xf numFmtId="0" fontId="79" fillId="0" borderId="15" xfId="0" applyFont="1" applyBorder="1" applyAlignment="1">
      <alignment horizontal="center" vertical="center" wrapText="1"/>
    </xf>
    <xf numFmtId="0" fontId="4" fillId="0" borderId="22" xfId="0" applyFont="1" applyFill="1" applyBorder="1" applyAlignment="1">
      <alignment horizontal="center" vertical="center" wrapText="1"/>
    </xf>
    <xf numFmtId="0" fontId="0" fillId="0" borderId="15" xfId="0" applyFont="1" applyBorder="1" applyAlignment="1">
      <alignment horizontal="center" wrapText="1"/>
    </xf>
    <xf numFmtId="0" fontId="79" fillId="0" borderId="0" xfId="0" applyFont="1" applyAlignment="1">
      <alignment/>
    </xf>
    <xf numFmtId="0" fontId="79" fillId="0" borderId="15" xfId="0" applyFont="1" applyBorder="1" applyAlignment="1">
      <alignment horizontal="left"/>
    </xf>
    <xf numFmtId="164" fontId="79" fillId="0" borderId="15" xfId="42" applyNumberFormat="1" applyFont="1" applyBorder="1" applyAlignment="1">
      <alignment horizontal="right"/>
    </xf>
    <xf numFmtId="164" fontId="79" fillId="0" borderId="0" xfId="42" applyNumberFormat="1" applyFont="1" applyAlignment="1">
      <alignment/>
    </xf>
    <xf numFmtId="9" fontId="79" fillId="0" borderId="0" xfId="60" applyFont="1" applyAlignment="1">
      <alignment/>
    </xf>
    <xf numFmtId="164" fontId="79" fillId="0" borderId="0" xfId="0" applyNumberFormat="1" applyFont="1" applyAlignment="1">
      <alignment/>
    </xf>
    <xf numFmtId="0" fontId="79" fillId="0" borderId="12" xfId="0" applyFont="1" applyBorder="1" applyAlignment="1">
      <alignment/>
    </xf>
    <xf numFmtId="164" fontId="79" fillId="0" borderId="12" xfId="0" applyNumberFormat="1" applyFont="1" applyBorder="1" applyAlignment="1">
      <alignment/>
    </xf>
    <xf numFmtId="9" fontId="79" fillId="0" borderId="12" xfId="60" applyFont="1" applyBorder="1" applyAlignment="1">
      <alignment/>
    </xf>
    <xf numFmtId="0" fontId="79" fillId="0" borderId="0" xfId="42" applyNumberFormat="1" applyFont="1" applyAlignment="1">
      <alignment horizontal="left"/>
    </xf>
    <xf numFmtId="43" fontId="79" fillId="0" borderId="0" xfId="42" applyNumberFormat="1" applyFont="1" applyAlignment="1">
      <alignment/>
    </xf>
    <xf numFmtId="0" fontId="0" fillId="0" borderId="0" xfId="0" applyFill="1" applyBorder="1" applyAlignment="1">
      <alignment horizontal="left" wrapText="1"/>
    </xf>
    <xf numFmtId="1" fontId="79" fillId="0" borderId="0" xfId="0" applyNumberFormat="1" applyFont="1" applyAlignment="1">
      <alignment/>
    </xf>
    <xf numFmtId="0" fontId="79" fillId="0" borderId="0" xfId="0" applyNumberFormat="1" applyFont="1" applyAlignment="1">
      <alignment horizontal="left"/>
    </xf>
    <xf numFmtId="9" fontId="79" fillId="0" borderId="0" xfId="60" applyFont="1" applyAlignment="1">
      <alignment vertical="top" wrapText="1"/>
    </xf>
    <xf numFmtId="0" fontId="0" fillId="0" borderId="0" xfId="0" applyBorder="1" applyAlignment="1">
      <alignment vertical="center" wrapText="1"/>
    </xf>
    <xf numFmtId="0" fontId="79" fillId="0" borderId="0" xfId="0" applyFont="1" applyBorder="1" applyAlignment="1">
      <alignment horizontal="center" vertical="center" wrapText="1"/>
    </xf>
    <xf numFmtId="0" fontId="4" fillId="0" borderId="0" xfId="0" applyFont="1" applyFill="1" applyBorder="1" applyAlignment="1">
      <alignment horizontal="center" vertical="center"/>
    </xf>
    <xf numFmtId="164" fontId="83" fillId="0" borderId="0" xfId="0" applyNumberFormat="1" applyFont="1" applyBorder="1" applyAlignment="1">
      <alignment horizontal="left"/>
    </xf>
    <xf numFmtId="0" fontId="4" fillId="0" borderId="0" xfId="0" applyFont="1" applyBorder="1" applyAlignment="1">
      <alignment horizontal="left"/>
    </xf>
    <xf numFmtId="4" fontId="20" fillId="0" borderId="0" xfId="0" applyNumberFormat="1" applyFont="1" applyBorder="1" applyAlignment="1">
      <alignment vertical="center" wrapText="1"/>
    </xf>
    <xf numFmtId="3" fontId="20" fillId="0" borderId="0" xfId="0" applyNumberFormat="1" applyFont="1" applyBorder="1" applyAlignment="1">
      <alignment vertical="center" wrapText="1"/>
    </xf>
    <xf numFmtId="4" fontId="0" fillId="0" borderId="0" xfId="0" applyNumberFormat="1" applyBorder="1" applyAlignment="1">
      <alignment/>
    </xf>
    <xf numFmtId="0" fontId="79" fillId="0" borderId="0" xfId="0" applyFont="1" applyBorder="1" applyAlignment="1">
      <alignment/>
    </xf>
    <xf numFmtId="164" fontId="79" fillId="0" borderId="0" xfId="42" applyNumberFormat="1" applyFont="1" applyBorder="1" applyAlignment="1">
      <alignment/>
    </xf>
    <xf numFmtId="164" fontId="79" fillId="0" borderId="0" xfId="0" applyNumberFormat="1" applyFont="1" applyBorder="1" applyAlignment="1">
      <alignment/>
    </xf>
    <xf numFmtId="164" fontId="79" fillId="0" borderId="12" xfId="42" applyNumberFormat="1" applyFont="1" applyBorder="1" applyAlignment="1">
      <alignment/>
    </xf>
    <xf numFmtId="0" fontId="79" fillId="0" borderId="0" xfId="42" applyNumberFormat="1" applyFont="1" applyBorder="1" applyAlignment="1">
      <alignment/>
    </xf>
    <xf numFmtId="9" fontId="79" fillId="0" borderId="0" xfId="60" applyFont="1" applyBorder="1" applyAlignment="1">
      <alignment/>
    </xf>
    <xf numFmtId="0" fontId="79" fillId="0" borderId="12" xfId="0" applyFont="1" applyBorder="1" applyAlignment="1">
      <alignment horizontal="right"/>
    </xf>
    <xf numFmtId="43" fontId="0" fillId="0" borderId="0" xfId="42" applyNumberFormat="1" applyFont="1" applyBorder="1" applyAlignment="1">
      <alignment/>
    </xf>
    <xf numFmtId="0" fontId="1" fillId="0" borderId="15" xfId="0" applyFont="1" applyFill="1" applyBorder="1" applyAlignment="1">
      <alignment horizontal="center" vertical="center" wrapText="1"/>
    </xf>
    <xf numFmtId="0" fontId="1" fillId="0" borderId="0" xfId="0" applyFont="1" applyAlignment="1">
      <alignment horizontal="left"/>
    </xf>
    <xf numFmtId="0" fontId="79" fillId="0" borderId="15" xfId="0" applyFont="1" applyBorder="1" applyAlignment="1">
      <alignment/>
    </xf>
    <xf numFmtId="0" fontId="79" fillId="0" borderId="15" xfId="0" applyFont="1" applyBorder="1" applyAlignment="1">
      <alignment horizontal="center"/>
    </xf>
    <xf numFmtId="0" fontId="0" fillId="0" borderId="0" xfId="0" applyFont="1" applyAlignment="1">
      <alignment vertical="center" wrapText="1"/>
    </xf>
    <xf numFmtId="43" fontId="0" fillId="0" borderId="0" xfId="0" applyNumberFormat="1" applyFont="1" applyAlignment="1">
      <alignment vertical="center" wrapText="1"/>
    </xf>
    <xf numFmtId="0" fontId="79" fillId="0" borderId="15" xfId="0" applyFont="1" applyBorder="1" applyAlignment="1">
      <alignment horizontal="center"/>
    </xf>
    <xf numFmtId="0" fontId="79" fillId="0" borderId="42" xfId="0" applyFont="1" applyBorder="1" applyAlignment="1">
      <alignment/>
    </xf>
    <xf numFmtId="0" fontId="0" fillId="0" borderId="15" xfId="0" applyFont="1" applyBorder="1" applyAlignment="1">
      <alignment horizontal="right"/>
    </xf>
    <xf numFmtId="0" fontId="75" fillId="0" borderId="0" xfId="0" applyFont="1" applyAlignment="1">
      <alignment/>
    </xf>
    <xf numFmtId="0" fontId="0" fillId="0" borderId="15" xfId="0" applyFill="1" applyBorder="1" applyAlignment="1">
      <alignment/>
    </xf>
    <xf numFmtId="0" fontId="0" fillId="10" borderId="0" xfId="0" applyFill="1" applyAlignment="1">
      <alignment/>
    </xf>
    <xf numFmtId="0" fontId="0" fillId="0" borderId="0" xfId="0" applyFont="1" applyAlignment="1">
      <alignment vertical="center"/>
    </xf>
    <xf numFmtId="0" fontId="0" fillId="10" borderId="0" xfId="0" applyFont="1" applyFill="1" applyAlignment="1">
      <alignment/>
    </xf>
    <xf numFmtId="0" fontId="91" fillId="0" borderId="0" xfId="0" applyFont="1" applyAlignment="1">
      <alignment/>
    </xf>
    <xf numFmtId="3" fontId="0" fillId="10" borderId="0" xfId="0" applyNumberFormat="1" applyFill="1" applyAlignment="1">
      <alignment/>
    </xf>
    <xf numFmtId="0" fontId="79" fillId="0" borderId="15" xfId="0" applyFont="1" applyBorder="1" applyAlignment="1">
      <alignment horizontal="center" vertical="center" wrapText="1"/>
    </xf>
    <xf numFmtId="0" fontId="79" fillId="0" borderId="0" xfId="0" applyFont="1" applyFill="1" applyAlignment="1">
      <alignment horizontal="right"/>
    </xf>
    <xf numFmtId="0" fontId="79" fillId="0" borderId="0" xfId="0" applyFont="1" applyFill="1" applyAlignment="1">
      <alignment/>
    </xf>
    <xf numFmtId="9" fontId="79" fillId="0" borderId="0" xfId="60" applyFont="1" applyAlignment="1">
      <alignment vertical="top"/>
    </xf>
    <xf numFmtId="0" fontId="10" fillId="0" borderId="0" xfId="0" applyFont="1" applyAlignment="1">
      <alignment horizontal="left"/>
    </xf>
    <xf numFmtId="0" fontId="91" fillId="0" borderId="0" xfId="0" applyFont="1" applyFill="1" applyAlignment="1">
      <alignment/>
    </xf>
    <xf numFmtId="0" fontId="2" fillId="0" borderId="15" xfId="0" applyFont="1" applyBorder="1" applyAlignment="1">
      <alignment horizontal="left" vertical="center" indent="1"/>
    </xf>
    <xf numFmtId="0" fontId="0" fillId="0" borderId="0" xfId="0" applyFont="1" applyFill="1" applyAlignment="1">
      <alignment horizontal="left"/>
    </xf>
    <xf numFmtId="0" fontId="81" fillId="0" borderId="0" xfId="0" applyFont="1" applyBorder="1" applyAlignment="1">
      <alignment horizontal="left"/>
    </xf>
    <xf numFmtId="0" fontId="81" fillId="0" borderId="0" xfId="0" applyFont="1" applyFill="1" applyBorder="1" applyAlignment="1">
      <alignment horizontal="left"/>
    </xf>
    <xf numFmtId="164" fontId="0" fillId="0" borderId="12" xfId="42" applyNumberFormat="1" applyFont="1" applyBorder="1" applyAlignment="1">
      <alignment horizontal="center" vertical="center" wrapText="1"/>
    </xf>
    <xf numFmtId="164" fontId="0" fillId="0" borderId="34" xfId="0" applyNumberFormat="1" applyFont="1" applyBorder="1" applyAlignment="1">
      <alignment/>
    </xf>
    <xf numFmtId="164" fontId="0" fillId="0" borderId="12" xfId="42" applyNumberFormat="1" applyFont="1" applyBorder="1" applyAlignment="1">
      <alignment/>
    </xf>
    <xf numFmtId="0" fontId="81" fillId="0" borderId="0" xfId="0" applyFont="1" applyAlignment="1">
      <alignment horizontal="left" indent="1"/>
    </xf>
    <xf numFmtId="3" fontId="81" fillId="0" borderId="0" xfId="0" applyNumberFormat="1" applyFont="1" applyAlignment="1">
      <alignment/>
    </xf>
    <xf numFmtId="164" fontId="0" fillId="0" borderId="34" xfId="42" applyNumberFormat="1" applyFont="1" applyBorder="1" applyAlignment="1">
      <alignment vertical="center"/>
    </xf>
    <xf numFmtId="164" fontId="0" fillId="0" borderId="34" xfId="42" applyNumberFormat="1" applyFont="1" applyBorder="1" applyAlignment="1">
      <alignment/>
    </xf>
    <xf numFmtId="164" fontId="0" fillId="0" borderId="34" xfId="42" applyNumberFormat="1" applyFont="1" applyBorder="1" applyAlignment="1">
      <alignment/>
    </xf>
    <xf numFmtId="0" fontId="0" fillId="0" borderId="27" xfId="0" applyFont="1" applyBorder="1" applyAlignment="1">
      <alignment horizontal="center" wrapText="1"/>
    </xf>
    <xf numFmtId="0" fontId="0" fillId="0" borderId="27" xfId="0" applyFont="1" applyFill="1" applyBorder="1" applyAlignment="1">
      <alignment horizontal="center" wrapText="1"/>
    </xf>
    <xf numFmtId="164" fontId="0" fillId="0" borderId="0" xfId="42" applyNumberFormat="1" applyFont="1" applyFill="1" applyBorder="1" applyAlignment="1">
      <alignment horizontal="center" wrapText="1"/>
    </xf>
    <xf numFmtId="0" fontId="0" fillId="0" borderId="0" xfId="0" applyFont="1" applyFill="1" applyBorder="1" applyAlignment="1">
      <alignment horizontal="center" wrapText="1"/>
    </xf>
    <xf numFmtId="164" fontId="0" fillId="0" borderId="27" xfId="42" applyNumberFormat="1" applyFont="1" applyBorder="1" applyAlignment="1">
      <alignment horizontal="center" wrapText="1"/>
    </xf>
    <xf numFmtId="0" fontId="0" fillId="0" borderId="28" xfId="0" applyFont="1" applyBorder="1" applyAlignment="1">
      <alignment horizontal="center" wrapText="1"/>
    </xf>
    <xf numFmtId="164" fontId="0" fillId="0" borderId="16" xfId="42" applyNumberFormat="1" applyFont="1" applyBorder="1" applyAlignment="1">
      <alignment/>
    </xf>
    <xf numFmtId="0" fontId="0" fillId="0" borderId="13" xfId="0" applyFont="1" applyFill="1" applyBorder="1" applyAlignment="1">
      <alignment/>
    </xf>
    <xf numFmtId="0" fontId="0" fillId="0" borderId="16" xfId="0" applyFont="1" applyBorder="1" applyAlignment="1">
      <alignment/>
    </xf>
    <xf numFmtId="164" fontId="0" fillId="33" borderId="0" xfId="42" applyNumberFormat="1" applyFont="1" applyFill="1" applyBorder="1" applyAlignment="1">
      <alignment horizontal="center"/>
    </xf>
    <xf numFmtId="1" fontId="0" fillId="0" borderId="13" xfId="0" applyNumberFormat="1" applyFont="1" applyFill="1" applyBorder="1" applyAlignment="1">
      <alignment/>
    </xf>
    <xf numFmtId="0" fontId="0" fillId="0" borderId="28" xfId="0" applyFont="1" applyFill="1" applyBorder="1" applyAlignment="1">
      <alignment/>
    </xf>
    <xf numFmtId="43" fontId="0" fillId="0" borderId="0" xfId="0" applyNumberFormat="1" applyFont="1" applyFill="1" applyBorder="1" applyAlignment="1">
      <alignment/>
    </xf>
    <xf numFmtId="164" fontId="0" fillId="0" borderId="22" xfId="0" applyNumberFormat="1" applyFont="1" applyBorder="1" applyAlignment="1">
      <alignment/>
    </xf>
    <xf numFmtId="164" fontId="0" fillId="0" borderId="20" xfId="0" applyNumberFormat="1" applyFont="1" applyBorder="1" applyAlignment="1">
      <alignment/>
    </xf>
    <xf numFmtId="164" fontId="0" fillId="0" borderId="19" xfId="0" applyNumberFormat="1" applyFont="1" applyBorder="1" applyAlignment="1">
      <alignment/>
    </xf>
    <xf numFmtId="166" fontId="0" fillId="0" borderId="18" xfId="42" applyNumberFormat="1" applyFont="1" applyFill="1" applyBorder="1" applyAlignment="1">
      <alignment/>
    </xf>
    <xf numFmtId="164" fontId="0" fillId="0" borderId="19" xfId="42" applyNumberFormat="1" applyFont="1" applyBorder="1" applyAlignment="1">
      <alignment/>
    </xf>
    <xf numFmtId="1" fontId="0" fillId="0" borderId="12" xfId="0" applyNumberFormat="1" applyFont="1" applyBorder="1" applyAlignment="1">
      <alignment/>
    </xf>
    <xf numFmtId="3" fontId="0" fillId="0" borderId="12" xfId="0" applyNumberFormat="1" applyFont="1" applyBorder="1" applyAlignment="1">
      <alignment/>
    </xf>
    <xf numFmtId="164" fontId="0" fillId="0" borderId="15" xfId="42" applyNumberFormat="1" applyFont="1" applyFill="1" applyBorder="1" applyAlignment="1">
      <alignment/>
    </xf>
    <xf numFmtId="2" fontId="0" fillId="0" borderId="12" xfId="0" applyNumberFormat="1" applyFont="1" applyBorder="1" applyAlignment="1">
      <alignment/>
    </xf>
    <xf numFmtId="164" fontId="0" fillId="0" borderId="15" xfId="42" applyNumberFormat="1" applyFont="1" applyBorder="1" applyAlignment="1">
      <alignment/>
    </xf>
    <xf numFmtId="0" fontId="80" fillId="0" borderId="0" xfId="0" applyFont="1" applyBorder="1" applyAlignment="1">
      <alignment/>
    </xf>
    <xf numFmtId="43" fontId="80" fillId="0" borderId="0" xfId="42" applyNumberFormat="1" applyFont="1" applyFill="1" applyBorder="1" applyAlignment="1">
      <alignment/>
    </xf>
    <xf numFmtId="164" fontId="80" fillId="0" borderId="0" xfId="0" applyNumberFormat="1" applyFont="1" applyBorder="1" applyAlignment="1">
      <alignment horizontal="center" wrapText="1"/>
    </xf>
    <xf numFmtId="0" fontId="80" fillId="0" borderId="13" xfId="0" applyFont="1" applyBorder="1" applyAlignment="1">
      <alignment horizontal="center" wrapText="1"/>
    </xf>
    <xf numFmtId="43" fontId="80" fillId="0" borderId="19" xfId="42" applyNumberFormat="1" applyFont="1" applyFill="1" applyBorder="1" applyAlignment="1">
      <alignment/>
    </xf>
    <xf numFmtId="0" fontId="80" fillId="0" borderId="12" xfId="0" applyFont="1" applyFill="1" applyBorder="1" applyAlignment="1">
      <alignment/>
    </xf>
    <xf numFmtId="166" fontId="80" fillId="0" borderId="12" xfId="42" applyNumberFormat="1" applyFont="1" applyFill="1" applyBorder="1" applyAlignment="1">
      <alignment/>
    </xf>
    <xf numFmtId="43" fontId="80" fillId="0" borderId="18" xfId="42" applyNumberFormat="1" applyFont="1" applyFill="1" applyBorder="1" applyAlignment="1">
      <alignment/>
    </xf>
    <xf numFmtId="164" fontId="80" fillId="0" borderId="16" xfId="0" applyNumberFormat="1" applyFont="1" applyBorder="1" applyAlignment="1">
      <alignment horizontal="center" wrapText="1"/>
    </xf>
    <xf numFmtId="0" fontId="80" fillId="0" borderId="0" xfId="0" applyFont="1" applyBorder="1" applyAlignment="1">
      <alignment horizontal="center" wrapText="1"/>
    </xf>
    <xf numFmtId="164" fontId="2" fillId="0" borderId="0" xfId="42" applyNumberFormat="1" applyFont="1" applyFill="1" applyBorder="1" applyAlignment="1">
      <alignment/>
    </xf>
    <xf numFmtId="0" fontId="80" fillId="0" borderId="12" xfId="0" applyFont="1" applyBorder="1" applyAlignment="1">
      <alignment/>
    </xf>
    <xf numFmtId="43" fontId="80" fillId="0" borderId="12" xfId="0" applyNumberFormat="1" applyFont="1" applyFill="1" applyBorder="1" applyAlignment="1">
      <alignment/>
    </xf>
    <xf numFmtId="164" fontId="80" fillId="0" borderId="12" xfId="42" applyNumberFormat="1" applyFont="1" applyBorder="1" applyAlignment="1">
      <alignment/>
    </xf>
    <xf numFmtId="0" fontId="80" fillId="0" borderId="19" xfId="0" applyFont="1" applyBorder="1" applyAlignment="1">
      <alignment horizontal="center" vertical="top"/>
    </xf>
    <xf numFmtId="164" fontId="80" fillId="0" borderId="12" xfId="42" applyNumberFormat="1" applyFont="1" applyFill="1" applyBorder="1" applyAlignment="1">
      <alignment/>
    </xf>
    <xf numFmtId="164" fontId="80" fillId="0" borderId="19" xfId="42" applyNumberFormat="1" applyFont="1" applyFill="1" applyBorder="1" applyAlignment="1">
      <alignment/>
    </xf>
    <xf numFmtId="166" fontId="80" fillId="0" borderId="18" xfId="42" applyNumberFormat="1" applyFont="1" applyFill="1" applyBorder="1" applyAlignment="1">
      <alignment/>
    </xf>
    <xf numFmtId="164" fontId="80" fillId="0" borderId="12" xfId="0" applyNumberFormat="1" applyFont="1" applyBorder="1" applyAlignment="1">
      <alignment horizontal="center" wrapText="1"/>
    </xf>
    <xf numFmtId="164" fontId="80" fillId="0" borderId="18" xfId="0" applyNumberFormat="1" applyFont="1" applyBorder="1" applyAlignment="1">
      <alignment horizontal="center" wrapText="1"/>
    </xf>
    <xf numFmtId="170" fontId="80" fillId="0" borderId="12" xfId="0" applyNumberFormat="1" applyFont="1" applyBorder="1" applyAlignment="1">
      <alignment/>
    </xf>
    <xf numFmtId="164" fontId="2" fillId="0" borderId="12" xfId="42" applyNumberFormat="1" applyFont="1" applyFill="1" applyBorder="1" applyAlignment="1">
      <alignment/>
    </xf>
    <xf numFmtId="0" fontId="80" fillId="0" borderId="19" xfId="0" applyFont="1" applyFill="1" applyBorder="1" applyAlignment="1">
      <alignment horizontal="center"/>
    </xf>
    <xf numFmtId="43" fontId="80" fillId="0" borderId="12" xfId="42" applyNumberFormat="1" applyFont="1" applyFill="1" applyBorder="1" applyAlignment="1">
      <alignment/>
    </xf>
    <xf numFmtId="170" fontId="80" fillId="0" borderId="12" xfId="0" applyNumberFormat="1" applyFont="1" applyFill="1" applyBorder="1" applyAlignment="1">
      <alignment/>
    </xf>
    <xf numFmtId="164" fontId="80" fillId="0" borderId="12" xfId="42" applyNumberFormat="1" applyFont="1" applyFill="1" applyBorder="1" applyAlignment="1">
      <alignment/>
    </xf>
    <xf numFmtId="164" fontId="80" fillId="0" borderId="12" xfId="42" applyNumberFormat="1" applyFont="1" applyFill="1" applyBorder="1" applyAlignment="1">
      <alignment horizontal="center"/>
    </xf>
    <xf numFmtId="164" fontId="79" fillId="0" borderId="12" xfId="42" applyNumberFormat="1" applyFont="1" applyFill="1" applyBorder="1" applyAlignment="1">
      <alignment/>
    </xf>
    <xf numFmtId="164" fontId="80" fillId="0" borderId="18" xfId="42" applyNumberFormat="1" applyFont="1" applyFill="1" applyBorder="1" applyAlignment="1">
      <alignment/>
    </xf>
    <xf numFmtId="170" fontId="80" fillId="0" borderId="12" xfId="0" applyNumberFormat="1" applyFont="1" applyBorder="1" applyAlignment="1">
      <alignment vertical="top" wrapText="1"/>
    </xf>
    <xf numFmtId="164" fontId="80" fillId="0" borderId="12" xfId="42" applyNumberFormat="1" applyFont="1" applyBorder="1" applyAlignment="1">
      <alignment/>
    </xf>
    <xf numFmtId="0" fontId="80" fillId="0" borderId="19" xfId="0" applyFont="1" applyFill="1" applyBorder="1" applyAlignment="1">
      <alignment/>
    </xf>
    <xf numFmtId="164" fontId="80" fillId="0" borderId="19" xfId="42" applyNumberFormat="1" applyFont="1" applyBorder="1" applyAlignment="1">
      <alignment/>
    </xf>
    <xf numFmtId="0" fontId="80" fillId="0" borderId="18" xfId="0" applyFont="1" applyBorder="1" applyAlignment="1">
      <alignment/>
    </xf>
    <xf numFmtId="170" fontId="80" fillId="0" borderId="12" xfId="0" applyNumberFormat="1" applyFont="1" applyBorder="1" applyAlignment="1">
      <alignment wrapText="1"/>
    </xf>
    <xf numFmtId="167" fontId="80" fillId="0" borderId="19" xfId="0" applyNumberFormat="1" applyFont="1" applyFill="1" applyBorder="1" applyAlignment="1">
      <alignment/>
    </xf>
    <xf numFmtId="0" fontId="80" fillId="0" borderId="22" xfId="0" applyFont="1" applyFill="1" applyBorder="1" applyAlignment="1">
      <alignment/>
    </xf>
    <xf numFmtId="0" fontId="80" fillId="0" borderId="0" xfId="0" applyFont="1" applyFill="1" applyBorder="1" applyAlignment="1">
      <alignment/>
    </xf>
    <xf numFmtId="43" fontId="0" fillId="0" borderId="0" xfId="42" applyNumberFormat="1" applyFont="1" applyAlignment="1">
      <alignment vertical="top" wrapText="1"/>
    </xf>
    <xf numFmtId="1" fontId="2" fillId="0" borderId="0" xfId="0" applyNumberFormat="1" applyFont="1" applyFill="1" applyBorder="1" applyAlignment="1">
      <alignment horizontal="right"/>
    </xf>
    <xf numFmtId="0" fontId="0" fillId="0" borderId="0" xfId="0" applyFont="1" applyFill="1" applyAlignment="1">
      <alignment vertical="center"/>
    </xf>
    <xf numFmtId="164" fontId="77" fillId="0" borderId="13" xfId="42" applyNumberFormat="1" applyFont="1" applyBorder="1" applyAlignment="1">
      <alignment vertical="center"/>
    </xf>
    <xf numFmtId="177" fontId="0" fillId="0" borderId="15" xfId="0" applyNumberFormat="1" applyFont="1" applyFill="1" applyBorder="1" applyAlignment="1">
      <alignment/>
    </xf>
    <xf numFmtId="166" fontId="0" fillId="0" borderId="0" xfId="42" applyNumberFormat="1" applyFont="1" applyFill="1" applyAlignment="1">
      <alignment/>
    </xf>
    <xf numFmtId="3" fontId="2" fillId="0" borderId="0" xfId="0" applyNumberFormat="1" applyFont="1" applyFill="1" applyAlignment="1">
      <alignment/>
    </xf>
    <xf numFmtId="9" fontId="77" fillId="0" borderId="0" xfId="60" applyNumberFormat="1" applyFont="1" applyBorder="1" applyAlignment="1">
      <alignment/>
    </xf>
    <xf numFmtId="9" fontId="77" fillId="0" borderId="0" xfId="60" applyFont="1" applyBorder="1" applyAlignment="1">
      <alignment/>
    </xf>
    <xf numFmtId="164" fontId="77" fillId="0" borderId="0" xfId="42" applyNumberFormat="1" applyFont="1" applyAlignment="1">
      <alignment wrapText="1"/>
    </xf>
    <xf numFmtId="43" fontId="77" fillId="0" borderId="0" xfId="42" applyNumberFormat="1" applyFont="1" applyAlignment="1">
      <alignment/>
    </xf>
    <xf numFmtId="164" fontId="77" fillId="0" borderId="0" xfId="0" applyNumberFormat="1" applyFont="1" applyAlignment="1">
      <alignment/>
    </xf>
    <xf numFmtId="167" fontId="77" fillId="0" borderId="0" xfId="0" applyNumberFormat="1" applyFont="1" applyBorder="1" applyAlignment="1">
      <alignment/>
    </xf>
    <xf numFmtId="43" fontId="0" fillId="0" borderId="0" xfId="42" applyFont="1" applyAlignment="1">
      <alignment horizontal="right"/>
    </xf>
    <xf numFmtId="43" fontId="1" fillId="0" borderId="12" xfId="42" applyFont="1" applyBorder="1" applyAlignment="1">
      <alignment horizontal="center" vertical="center" wrapText="1"/>
    </xf>
    <xf numFmtId="43" fontId="2" fillId="0" borderId="0" xfId="42" applyFont="1" applyAlignment="1">
      <alignment horizontal="right"/>
    </xf>
    <xf numFmtId="43" fontId="0" fillId="0" borderId="0" xfId="42" applyFont="1" applyFill="1" applyAlignment="1">
      <alignment horizontal="right"/>
    </xf>
    <xf numFmtId="43" fontId="0" fillId="0" borderId="0" xfId="42" applyFont="1" applyFill="1" applyAlignment="1">
      <alignment horizontal="right"/>
    </xf>
    <xf numFmtId="43" fontId="2" fillId="0" borderId="0" xfId="42" applyFont="1" applyAlignment="1">
      <alignment horizontal="center"/>
    </xf>
    <xf numFmtId="0" fontId="0" fillId="0" borderId="0" xfId="0" applyFont="1" applyAlignment="1">
      <alignment/>
    </xf>
    <xf numFmtId="0" fontId="3" fillId="0" borderId="0" xfId="0" applyFont="1" applyBorder="1" applyAlignment="1">
      <alignment horizontal="center" vertical="center" wrapText="1"/>
    </xf>
    <xf numFmtId="43" fontId="1" fillId="0" borderId="0" xfId="42" applyFont="1" applyBorder="1" applyAlignment="1">
      <alignment horizontal="center" vertical="center" wrapText="1"/>
    </xf>
    <xf numFmtId="0" fontId="9" fillId="0" borderId="0" xfId="0" applyFont="1" applyFill="1" applyAlignment="1">
      <alignment/>
    </xf>
    <xf numFmtId="3" fontId="4" fillId="0" borderId="0" xfId="0" applyNumberFormat="1" applyFont="1" applyFill="1" applyAlignment="1">
      <alignment/>
    </xf>
    <xf numFmtId="0" fontId="0" fillId="0" borderId="0" xfId="0" applyFill="1" applyAlignment="1">
      <alignment wrapText="1"/>
    </xf>
    <xf numFmtId="1" fontId="4" fillId="0" borderId="19" xfId="0" applyNumberFormat="1" applyFont="1" applyFill="1" applyBorder="1" applyAlignment="1">
      <alignment horizontal="center"/>
    </xf>
    <xf numFmtId="170" fontId="4" fillId="0" borderId="0" xfId="0" applyNumberFormat="1" applyFont="1" applyFill="1" applyBorder="1" applyAlignment="1">
      <alignment horizontal="center"/>
    </xf>
    <xf numFmtId="1" fontId="83" fillId="0" borderId="19" xfId="0" applyNumberFormat="1" applyFont="1" applyFill="1" applyBorder="1" applyAlignment="1">
      <alignment horizontal="center"/>
    </xf>
    <xf numFmtId="170" fontId="4" fillId="0" borderId="0" xfId="42" applyNumberFormat="1" applyFont="1" applyFill="1" applyBorder="1" applyAlignment="1">
      <alignment horizontal="center"/>
    </xf>
    <xf numFmtId="9" fontId="83" fillId="0" borderId="19" xfId="60" applyFont="1" applyFill="1" applyBorder="1" applyAlignment="1">
      <alignment horizontal="center"/>
    </xf>
    <xf numFmtId="164" fontId="4" fillId="0" borderId="0" xfId="42" applyNumberFormat="1" applyFont="1" applyFill="1" applyBorder="1" applyAlignment="1">
      <alignment horizontal="center"/>
    </xf>
    <xf numFmtId="0" fontId="0" fillId="0" borderId="19" xfId="0" applyFont="1" applyFill="1" applyBorder="1" applyAlignment="1">
      <alignment horizontal="center"/>
    </xf>
    <xf numFmtId="9" fontId="0" fillId="0" borderId="23" xfId="60" applyFont="1" applyFill="1" applyBorder="1" applyAlignment="1">
      <alignment horizontal="center"/>
    </xf>
    <xf numFmtId="1" fontId="0" fillId="0" borderId="13" xfId="42" applyNumberFormat="1" applyFont="1" applyFill="1" applyBorder="1" applyAlignment="1">
      <alignment horizontal="center"/>
    </xf>
    <xf numFmtId="170" fontId="0" fillId="0" borderId="0" xfId="0" applyNumberFormat="1" applyFill="1" applyBorder="1" applyAlignment="1">
      <alignment horizontal="center"/>
    </xf>
    <xf numFmtId="170" fontId="0" fillId="0" borderId="0" xfId="42" applyNumberFormat="1" applyFont="1" applyFill="1" applyBorder="1" applyAlignment="1">
      <alignment horizontal="center"/>
    </xf>
    <xf numFmtId="9" fontId="0" fillId="0" borderId="13" xfId="60" applyFont="1" applyFill="1" applyBorder="1" applyAlignment="1">
      <alignment horizontal="center"/>
    </xf>
    <xf numFmtId="170" fontId="0" fillId="0" borderId="13" xfId="42" applyNumberFormat="1" applyFont="1" applyFill="1" applyBorder="1" applyAlignment="1">
      <alignment horizontal="center"/>
    </xf>
    <xf numFmtId="0" fontId="0" fillId="0" borderId="13" xfId="0" applyFont="1" applyFill="1" applyBorder="1" applyAlignment="1">
      <alignment horizontal="center"/>
    </xf>
    <xf numFmtId="0" fontId="0" fillId="0" borderId="16" xfId="0" applyFont="1" applyFill="1" applyBorder="1" applyAlignment="1">
      <alignment horizontal="center"/>
    </xf>
    <xf numFmtId="0" fontId="0" fillId="0" borderId="0" xfId="0" applyFont="1" applyFill="1" applyBorder="1" applyAlignment="1">
      <alignment horizontal="center"/>
    </xf>
    <xf numFmtId="164" fontId="0" fillId="0" borderId="13" xfId="42" applyNumberFormat="1" applyFont="1" applyFill="1" applyBorder="1" applyAlignment="1">
      <alignment horizontal="center"/>
    </xf>
    <xf numFmtId="9" fontId="79" fillId="0" borderId="13" xfId="60" applyFont="1" applyFill="1" applyBorder="1" applyAlignment="1">
      <alignment horizontal="center"/>
    </xf>
    <xf numFmtId="164" fontId="79" fillId="0" borderId="13" xfId="42" applyNumberFormat="1" applyFont="1" applyFill="1" applyBorder="1" applyAlignment="1">
      <alignment horizontal="center"/>
    </xf>
    <xf numFmtId="1" fontId="4" fillId="0" borderId="13" xfId="0" applyNumberFormat="1" applyFont="1" applyFill="1" applyBorder="1" applyAlignment="1">
      <alignment horizontal="center"/>
    </xf>
    <xf numFmtId="1" fontId="4" fillId="0" borderId="0" xfId="0" applyNumberFormat="1" applyFont="1" applyFill="1" applyBorder="1" applyAlignment="1">
      <alignment horizontal="center"/>
    </xf>
    <xf numFmtId="1" fontId="81" fillId="0" borderId="13" xfId="0" applyNumberFormat="1" applyFont="1" applyFill="1" applyBorder="1" applyAlignment="1">
      <alignment horizontal="center"/>
    </xf>
    <xf numFmtId="0" fontId="81" fillId="0" borderId="0" xfId="0" applyFont="1" applyFill="1" applyBorder="1" applyAlignment="1">
      <alignment horizontal="center"/>
    </xf>
    <xf numFmtId="9" fontId="81" fillId="0" borderId="13" xfId="60" applyFont="1" applyFill="1" applyBorder="1" applyAlignment="1">
      <alignment horizontal="center"/>
    </xf>
    <xf numFmtId="0" fontId="81" fillId="0" borderId="13" xfId="0" applyFont="1" applyFill="1" applyBorder="1" applyAlignment="1">
      <alignment horizontal="center"/>
    </xf>
    <xf numFmtId="164" fontId="81" fillId="0" borderId="13" xfId="42" applyNumberFormat="1" applyFont="1" applyFill="1" applyBorder="1" applyAlignment="1">
      <alignment horizontal="center"/>
    </xf>
    <xf numFmtId="164" fontId="81" fillId="0" borderId="16" xfId="42" applyNumberFormat="1" applyFont="1" applyFill="1" applyBorder="1" applyAlignment="1">
      <alignment horizontal="center"/>
    </xf>
    <xf numFmtId="1" fontId="0" fillId="0" borderId="12" xfId="0" applyNumberFormat="1" applyFill="1" applyBorder="1" applyAlignment="1">
      <alignment horizontal="center"/>
    </xf>
    <xf numFmtId="0" fontId="0" fillId="0" borderId="19" xfId="0" applyFill="1" applyBorder="1" applyAlignment="1">
      <alignment horizontal="right"/>
    </xf>
    <xf numFmtId="164" fontId="0" fillId="0" borderId="12" xfId="42" applyNumberFormat="1" applyFont="1" applyFill="1" applyBorder="1" applyAlignment="1">
      <alignment horizontal="center"/>
    </xf>
    <xf numFmtId="0" fontId="0" fillId="0" borderId="12" xfId="0" applyFill="1" applyBorder="1" applyAlignment="1">
      <alignment horizontal="right"/>
    </xf>
    <xf numFmtId="9" fontId="0" fillId="0" borderId="19" xfId="60" applyFont="1" applyFill="1" applyBorder="1" applyAlignment="1">
      <alignment horizontal="center" vertical="center"/>
    </xf>
    <xf numFmtId="0" fontId="0" fillId="0" borderId="13" xfId="0" applyFill="1" applyBorder="1" applyAlignment="1">
      <alignment/>
    </xf>
    <xf numFmtId="43" fontId="0" fillId="0" borderId="0" xfId="0" applyNumberFormat="1" applyFill="1" applyAlignment="1">
      <alignment/>
    </xf>
    <xf numFmtId="9" fontId="0" fillId="0" borderId="0" xfId="60" applyFont="1" applyFill="1" applyAlignment="1">
      <alignment/>
    </xf>
    <xf numFmtId="43" fontId="0" fillId="0" borderId="0" xfId="42" applyNumberFormat="1" applyFont="1" applyFill="1" applyAlignment="1">
      <alignment/>
    </xf>
    <xf numFmtId="0" fontId="1" fillId="0" borderId="15" xfId="0" applyFont="1" applyBorder="1" applyAlignment="1">
      <alignment horizontal="center" vertical="center" wrapText="1"/>
    </xf>
    <xf numFmtId="0" fontId="1" fillId="0" borderId="15" xfId="0" applyFont="1" applyBorder="1" applyAlignment="1" quotePrefix="1">
      <alignment horizontal="center" vertical="center" wrapText="1"/>
    </xf>
    <xf numFmtId="0" fontId="1" fillId="0" borderId="15" xfId="0" applyFont="1" applyBorder="1" applyAlignment="1">
      <alignment horizontal="center" vertical="center"/>
    </xf>
    <xf numFmtId="166" fontId="0" fillId="0" borderId="0" xfId="42" applyNumberFormat="1" applyFont="1" applyAlignment="1">
      <alignment horizontal="right" vertical="center"/>
    </xf>
    <xf numFmtId="164" fontId="0" fillId="0" borderId="0" xfId="42" applyNumberFormat="1" applyFont="1" applyAlignment="1">
      <alignment horizontal="right" vertical="center"/>
    </xf>
    <xf numFmtId="0" fontId="0" fillId="0" borderId="15" xfId="0" applyBorder="1" applyAlignment="1">
      <alignment horizontal="center" vertical="center" wrapText="1"/>
    </xf>
    <xf numFmtId="0" fontId="3" fillId="0" borderId="15" xfId="0" applyFont="1" applyBorder="1" applyAlignment="1">
      <alignment horizontal="center" vertical="center" wrapText="1"/>
    </xf>
    <xf numFmtId="0" fontId="1" fillId="0" borderId="12" xfId="0" applyFont="1" applyBorder="1" applyAlignment="1">
      <alignment horizontal="center" vertical="center" wrapText="1"/>
    </xf>
    <xf numFmtId="43" fontId="1" fillId="0" borderId="15" xfId="42" applyFont="1" applyBorder="1" applyAlignment="1">
      <alignment horizontal="center" vertical="center" wrapText="1"/>
    </xf>
    <xf numFmtId="0" fontId="0" fillId="0" borderId="1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9" xfId="0" applyFont="1" applyBorder="1" applyAlignment="1" quotePrefix="1">
      <alignment horizontal="center" vertical="center" wrapText="1"/>
    </xf>
    <xf numFmtId="0" fontId="1" fillId="0" borderId="22" xfId="0" applyFont="1" applyBorder="1" applyAlignment="1">
      <alignment horizontal="center" vertical="center"/>
    </xf>
    <xf numFmtId="0" fontId="1" fillId="0" borderId="14" xfId="0" applyFont="1" applyBorder="1" applyAlignment="1">
      <alignment horizontal="center" vertical="center"/>
    </xf>
    <xf numFmtId="0" fontId="1" fillId="0" borderId="20" xfId="0" applyFont="1" applyBorder="1" applyAlignment="1">
      <alignment horizontal="center" vertical="center"/>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27" xfId="0" applyBorder="1" applyAlignment="1">
      <alignment horizontal="center" vertical="center" wrapText="1"/>
    </xf>
    <xf numFmtId="0" fontId="0" fillId="0" borderId="11" xfId="0" applyBorder="1" applyAlignment="1">
      <alignment horizontal="center" vertical="center" wrapText="1"/>
    </xf>
    <xf numFmtId="0" fontId="0" fillId="0" borderId="28" xfId="0" applyBorder="1" applyAlignment="1">
      <alignment horizontal="center" vertical="center" wrapText="1"/>
    </xf>
    <xf numFmtId="2" fontId="0" fillId="0" borderId="19" xfId="0" applyNumberFormat="1" applyFont="1" applyFill="1" applyBorder="1" applyAlignment="1">
      <alignment horizontal="center" vertical="center"/>
    </xf>
    <xf numFmtId="2" fontId="0" fillId="0" borderId="13" xfId="0" applyNumberFormat="1" applyFont="1" applyFill="1" applyBorder="1" applyAlignment="1">
      <alignment horizontal="center" vertical="center"/>
    </xf>
    <xf numFmtId="2" fontId="0" fillId="0" borderId="27" xfId="0" applyNumberFormat="1" applyFont="1" applyFill="1" applyBorder="1" applyAlignment="1">
      <alignment horizontal="center" vertical="center"/>
    </xf>
    <xf numFmtId="0" fontId="1" fillId="0" borderId="0" xfId="0" applyFont="1" applyBorder="1" applyAlignment="1">
      <alignment horizontal="center" vertical="center" wrapText="1"/>
    </xf>
    <xf numFmtId="1" fontId="1" fillId="0" borderId="18" xfId="0" applyNumberFormat="1" applyFont="1" applyBorder="1" applyAlignment="1">
      <alignment horizontal="center" vertical="center" wrapText="1"/>
    </xf>
    <xf numFmtId="1" fontId="1" fillId="0" borderId="16" xfId="0" applyNumberFormat="1" applyFont="1" applyBorder="1" applyAlignment="1">
      <alignment horizontal="center" vertical="center" wrapText="1"/>
    </xf>
    <xf numFmtId="1" fontId="1" fillId="0" borderId="28" xfId="0" applyNumberFormat="1" applyFont="1" applyBorder="1" applyAlignment="1">
      <alignment horizontal="center" vertical="center" wrapText="1"/>
    </xf>
    <xf numFmtId="0" fontId="1" fillId="0" borderId="18" xfId="0" applyFont="1" applyBorder="1" applyAlignment="1" quotePrefix="1">
      <alignment horizontal="center" vertical="center" wrapText="1"/>
    </xf>
    <xf numFmtId="0" fontId="1" fillId="0" borderId="13" xfId="0" applyFont="1" applyBorder="1" applyAlignment="1" quotePrefix="1">
      <alignment horizontal="center" vertical="center" wrapText="1"/>
    </xf>
    <xf numFmtId="0" fontId="1" fillId="0" borderId="16" xfId="0" applyFont="1" applyBorder="1" applyAlignment="1" quotePrefix="1">
      <alignment horizontal="center" vertical="center" wrapText="1"/>
    </xf>
    <xf numFmtId="0" fontId="1" fillId="0" borderId="27" xfId="0" applyFont="1" applyBorder="1" applyAlignment="1" quotePrefix="1">
      <alignment horizontal="center" vertical="center" wrapText="1"/>
    </xf>
    <xf numFmtId="0" fontId="1" fillId="0" borderId="28" xfId="0" applyFont="1" applyBorder="1" applyAlignment="1" quotePrefix="1">
      <alignment horizontal="center" vertical="center" wrapText="1"/>
    </xf>
    <xf numFmtId="0" fontId="1" fillId="0" borderId="2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2" xfId="0" applyFont="1" applyBorder="1" applyAlignment="1" quotePrefix="1">
      <alignment horizontal="center" vertical="center" wrapText="1"/>
    </xf>
    <xf numFmtId="0" fontId="1" fillId="0" borderId="0" xfId="0" applyFont="1" applyBorder="1" applyAlignment="1" quotePrefix="1">
      <alignment horizontal="center" vertical="center" wrapText="1"/>
    </xf>
    <xf numFmtId="0" fontId="1" fillId="0" borderId="11" xfId="0" applyFont="1" applyBorder="1" applyAlignment="1" quotePrefix="1">
      <alignment horizontal="center" vertical="center" wrapText="1"/>
    </xf>
    <xf numFmtId="2" fontId="1" fillId="0" borderId="23" xfId="0" applyNumberFormat="1" applyFont="1" applyFill="1" applyBorder="1" applyAlignment="1">
      <alignment horizontal="center" vertical="center" wrapText="1"/>
    </xf>
    <xf numFmtId="2" fontId="1" fillId="0" borderId="17" xfId="0" applyNumberFormat="1" applyFont="1" applyFill="1" applyBorder="1" applyAlignment="1">
      <alignment horizontal="center" vertical="center" wrapText="1"/>
    </xf>
    <xf numFmtId="2" fontId="1" fillId="0" borderId="42" xfId="0" applyNumberFormat="1" applyFont="1" applyFill="1" applyBorder="1" applyAlignment="1">
      <alignment horizontal="center" vertical="center" wrapText="1"/>
    </xf>
    <xf numFmtId="0" fontId="1" fillId="0" borderId="12" xfId="0" applyFont="1" applyBorder="1" applyAlignment="1">
      <alignment horizontal="left" vertical="center" wrapText="1"/>
    </xf>
    <xf numFmtId="49" fontId="79" fillId="0" borderId="15" xfId="42" applyNumberFormat="1" applyFont="1" applyBorder="1" applyAlignment="1">
      <alignment horizontal="center" vertical="center" wrapText="1"/>
    </xf>
    <xf numFmtId="0" fontId="79" fillId="0" borderId="15" xfId="0" applyFont="1" applyBorder="1" applyAlignment="1">
      <alignment horizontal="center" vertical="center" wrapText="1"/>
    </xf>
    <xf numFmtId="0" fontId="0" fillId="0" borderId="15" xfId="0" applyFont="1" applyFill="1" applyBorder="1" applyAlignment="1">
      <alignment horizontal="center" vertical="center" wrapText="1"/>
    </xf>
    <xf numFmtId="0" fontId="4" fillId="0" borderId="15" xfId="0" applyFont="1" applyBorder="1" applyAlignment="1">
      <alignment horizontal="center" vertical="center" wrapText="1"/>
    </xf>
    <xf numFmtId="1" fontId="0" fillId="0" borderId="19" xfId="0" applyNumberFormat="1" applyBorder="1" applyAlignment="1">
      <alignment horizontal="center"/>
    </xf>
    <xf numFmtId="1" fontId="0" fillId="0" borderId="12" xfId="0" applyNumberFormat="1" applyBorder="1" applyAlignment="1">
      <alignment horizontal="center"/>
    </xf>
    <xf numFmtId="0" fontId="4" fillId="0" borderId="2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4" fontId="4" fillId="0" borderId="15" xfId="0" applyNumberFormat="1" applyFont="1" applyBorder="1" applyAlignment="1">
      <alignment horizontal="center" vertical="center" wrapText="1"/>
    </xf>
    <xf numFmtId="0" fontId="4" fillId="0" borderId="20" xfId="0" applyFont="1" applyFill="1" applyBorder="1" applyAlignment="1">
      <alignment horizontal="center" vertical="center" wrapText="1"/>
    </xf>
    <xf numFmtId="2" fontId="1" fillId="0" borderId="15" xfId="0" applyNumberFormat="1" applyFont="1" applyFill="1" applyBorder="1" applyAlignment="1">
      <alignment horizontal="center" vertical="center"/>
    </xf>
    <xf numFmtId="0" fontId="0" fillId="0" borderId="15" xfId="0" applyFont="1" applyBorder="1" applyAlignment="1">
      <alignment horizontal="center"/>
    </xf>
    <xf numFmtId="0" fontId="0" fillId="0" borderId="15" xfId="0" applyBorder="1" applyAlignment="1">
      <alignment horizontal="center"/>
    </xf>
    <xf numFmtId="164" fontId="0" fillId="0" borderId="15" xfId="42" applyNumberFormat="1" applyFont="1" applyBorder="1" applyAlignment="1">
      <alignment horizontal="center" vertical="center"/>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8" xfId="0" applyFont="1" applyFill="1" applyBorder="1" applyAlignment="1">
      <alignment horizontal="center" vertical="center" wrapText="1"/>
    </xf>
    <xf numFmtId="170" fontId="4" fillId="0" borderId="19" xfId="0" applyNumberFormat="1" applyFont="1" applyFill="1" applyBorder="1" applyAlignment="1">
      <alignment horizontal="center" vertical="center" wrapText="1"/>
    </xf>
    <xf numFmtId="170" fontId="4" fillId="0" borderId="18" xfId="0" applyNumberFormat="1" applyFont="1" applyFill="1" applyBorder="1" applyAlignment="1">
      <alignment horizontal="center" vertical="center" wrapText="1"/>
    </xf>
    <xf numFmtId="170" fontId="4" fillId="0" borderId="13" xfId="0" applyNumberFormat="1" applyFont="1" applyFill="1" applyBorder="1" applyAlignment="1">
      <alignment horizontal="center" vertical="center" wrapText="1"/>
    </xf>
    <xf numFmtId="170" fontId="4" fillId="0" borderId="16" xfId="0" applyNumberFormat="1" applyFont="1" applyFill="1" applyBorder="1" applyAlignment="1">
      <alignment horizontal="center" vertical="center" wrapText="1"/>
    </xf>
    <xf numFmtId="170" fontId="4" fillId="0" borderId="27" xfId="0" applyNumberFormat="1" applyFont="1" applyFill="1" applyBorder="1" applyAlignment="1">
      <alignment horizontal="center" vertical="center" wrapText="1"/>
    </xf>
    <xf numFmtId="170" fontId="4" fillId="0" borderId="28" xfId="0" applyNumberFormat="1" applyFont="1" applyFill="1" applyBorder="1" applyAlignment="1">
      <alignment horizontal="center" vertical="center" wrapText="1"/>
    </xf>
    <xf numFmtId="170" fontId="4" fillId="0" borderId="19" xfId="0" applyNumberFormat="1" applyFont="1" applyFill="1" applyBorder="1" applyAlignment="1" quotePrefix="1">
      <alignment horizontal="center" vertical="center" wrapText="1"/>
    </xf>
    <xf numFmtId="170" fontId="4" fillId="0" borderId="22" xfId="0" applyNumberFormat="1" applyFont="1" applyFill="1" applyBorder="1" applyAlignment="1">
      <alignment horizontal="center" vertical="center"/>
    </xf>
    <xf numFmtId="170" fontId="4" fillId="0" borderId="14" xfId="0" applyNumberFormat="1" applyFont="1" applyFill="1" applyBorder="1" applyAlignment="1">
      <alignment horizontal="center" vertical="center"/>
    </xf>
    <xf numFmtId="170" fontId="4" fillId="0" borderId="20" xfId="0" applyNumberFormat="1" applyFont="1" applyFill="1" applyBorder="1" applyAlignment="1">
      <alignment horizontal="center" vertical="center"/>
    </xf>
    <xf numFmtId="170" fontId="4" fillId="0" borderId="12" xfId="0" applyNumberFormat="1" applyFont="1" applyFill="1" applyBorder="1" applyAlignment="1">
      <alignment horizontal="center" vertical="center" wrapText="1"/>
    </xf>
    <xf numFmtId="170" fontId="4" fillId="0" borderId="0" xfId="0" applyNumberFormat="1" applyFont="1" applyFill="1" applyBorder="1" applyAlignment="1">
      <alignment horizontal="center" vertical="center" wrapText="1"/>
    </xf>
    <xf numFmtId="170" fontId="4" fillId="0" borderId="11" xfId="0" applyNumberFormat="1" applyFont="1" applyFill="1" applyBorder="1" applyAlignment="1">
      <alignment horizontal="center" vertical="center" wrapText="1"/>
    </xf>
    <xf numFmtId="170" fontId="4" fillId="0" borderId="15"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0" fontId="0" fillId="0" borderId="15" xfId="0" applyFont="1" applyFill="1" applyBorder="1" applyAlignment="1">
      <alignment horizontal="center"/>
    </xf>
    <xf numFmtId="164" fontId="0" fillId="0" borderId="15" xfId="42" applyNumberFormat="1" applyFont="1" applyFill="1" applyBorder="1" applyAlignment="1">
      <alignment horizontal="center" vertical="center" wrapText="1"/>
    </xf>
    <xf numFmtId="43" fontId="0" fillId="0" borderId="15" xfId="42" applyFont="1" applyFill="1" applyBorder="1" applyAlignment="1">
      <alignment horizontal="center" vertical="center" wrapText="1"/>
    </xf>
    <xf numFmtId="0" fontId="0" fillId="0" borderId="19" xfId="0" applyFont="1" applyBorder="1" applyAlignment="1" quotePrefix="1">
      <alignment horizontal="center" vertical="center" wrapText="1"/>
    </xf>
    <xf numFmtId="0" fontId="0"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9" xfId="0" applyFont="1" applyFill="1" applyBorder="1" applyAlignment="1" quotePrefix="1">
      <alignment horizontal="center" vertical="center" wrapText="1"/>
    </xf>
    <xf numFmtId="0" fontId="0" fillId="0" borderId="0"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3"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42" xfId="0" applyFont="1" applyFill="1" applyBorder="1" applyAlignment="1">
      <alignment horizontal="center" vertical="center" wrapText="1"/>
    </xf>
    <xf numFmtId="9" fontId="0" fillId="0" borderId="23" xfId="60" applyFont="1" applyFill="1" applyBorder="1" applyAlignment="1">
      <alignment horizontal="center" vertical="center" wrapText="1"/>
    </xf>
    <xf numFmtId="9" fontId="0" fillId="0" borderId="17" xfId="60" applyFont="1" applyFill="1" applyBorder="1" applyAlignment="1">
      <alignment horizontal="center" vertical="center" wrapText="1"/>
    </xf>
    <xf numFmtId="9" fontId="0" fillId="0" borderId="42" xfId="60" applyFont="1" applyFill="1" applyBorder="1" applyAlignment="1">
      <alignment horizontal="center" vertical="center" wrapText="1"/>
    </xf>
    <xf numFmtId="0" fontId="80" fillId="0" borderId="0" xfId="0" applyFont="1" applyBorder="1" applyAlignment="1">
      <alignment horizontal="center"/>
    </xf>
    <xf numFmtId="0" fontId="80" fillId="0" borderId="13" xfId="0" applyFont="1" applyBorder="1" applyAlignment="1">
      <alignment horizontal="center"/>
    </xf>
    <xf numFmtId="0" fontId="80" fillId="0" borderId="16" xfId="0" applyFont="1" applyBorder="1" applyAlignment="1">
      <alignment horizontal="center"/>
    </xf>
    <xf numFmtId="0" fontId="80" fillId="0" borderId="13" xfId="0" applyFont="1" applyFill="1" applyBorder="1" applyAlignment="1">
      <alignment horizontal="center"/>
    </xf>
    <xf numFmtId="0" fontId="80" fillId="0" borderId="0" xfId="0" applyFont="1" applyFill="1" applyBorder="1" applyAlignment="1">
      <alignment horizontal="center"/>
    </xf>
    <xf numFmtId="164" fontId="80" fillId="0" borderId="13" xfId="42" applyNumberFormat="1" applyFont="1" applyBorder="1" applyAlignment="1">
      <alignment horizontal="center"/>
    </xf>
    <xf numFmtId="164" fontId="80" fillId="0" borderId="0" xfId="42" applyNumberFormat="1" applyFont="1" applyBorder="1" applyAlignment="1">
      <alignment horizontal="center"/>
    </xf>
    <xf numFmtId="0" fontId="0" fillId="0" borderId="15" xfId="0" applyFont="1" applyBorder="1" applyAlignment="1">
      <alignment horizontal="left" vertical="center"/>
    </xf>
    <xf numFmtId="0" fontId="0" fillId="0" borderId="22"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79" fillId="0" borderId="15" xfId="0" applyFont="1" applyBorder="1" applyAlignment="1">
      <alignment horizontal="center"/>
    </xf>
    <xf numFmtId="166" fontId="0" fillId="0" borderId="16" xfId="42" applyNumberFormat="1" applyFont="1" applyBorder="1" applyAlignment="1">
      <alignment horizontal="right" vertical="center" wrapText="1"/>
    </xf>
    <xf numFmtId="166" fontId="0" fillId="0" borderId="16" xfId="42" applyNumberFormat="1" applyFont="1" applyBorder="1" applyAlignment="1">
      <alignment horizontal="right"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0" xfId="0" applyFont="1" applyBorder="1" applyAlignment="1">
      <alignment horizontal="center" vertical="top"/>
    </xf>
    <xf numFmtId="1" fontId="4" fillId="0" borderId="13" xfId="0" applyNumberFormat="1" applyFont="1" applyFill="1" applyBorder="1" applyAlignment="1">
      <alignment horizontal="center" vertical="center"/>
    </xf>
    <xf numFmtId="1" fontId="4" fillId="0" borderId="0" xfId="0" applyNumberFormat="1" applyFont="1" applyFill="1" applyBorder="1" applyAlignment="1">
      <alignment horizontal="center" vertical="center"/>
    </xf>
    <xf numFmtId="1" fontId="4" fillId="0" borderId="16" xfId="0" applyNumberFormat="1" applyFont="1" applyFill="1" applyBorder="1" applyAlignment="1">
      <alignment horizontal="center" vertical="center"/>
    </xf>
    <xf numFmtId="9" fontId="0" fillId="0" borderId="17" xfId="60" applyFont="1" applyFill="1" applyBorder="1" applyAlignment="1">
      <alignment horizontal="center" vertical="center"/>
    </xf>
    <xf numFmtId="170" fontId="4" fillId="0" borderId="0" xfId="0" applyNumberFormat="1" applyFont="1" applyFill="1" applyBorder="1" applyAlignment="1">
      <alignment horizontal="center" vertical="center"/>
    </xf>
    <xf numFmtId="164" fontId="0" fillId="0" borderId="13" xfId="42" applyNumberFormat="1" applyFont="1" applyFill="1" applyBorder="1" applyAlignment="1">
      <alignment horizontal="center" vertical="center"/>
    </xf>
    <xf numFmtId="164" fontId="0" fillId="0" borderId="16" xfId="42" applyNumberFormat="1" applyFont="1" applyFill="1" applyBorder="1" applyAlignment="1">
      <alignment horizontal="center" vertical="center"/>
    </xf>
    <xf numFmtId="1" fontId="0" fillId="0" borderId="13" xfId="0" applyNumberFormat="1" applyFill="1" applyBorder="1" applyAlignment="1">
      <alignment horizontal="center" vertical="center" wrapText="1"/>
    </xf>
    <xf numFmtId="1" fontId="0" fillId="0" borderId="13" xfId="0" applyNumberFormat="1" applyFill="1" applyBorder="1" applyAlignment="1">
      <alignment horizontal="center" vertical="center"/>
    </xf>
    <xf numFmtId="170" fontId="77" fillId="0" borderId="0" xfId="0" applyNumberFormat="1" applyFont="1" applyFill="1" applyBorder="1" applyAlignment="1">
      <alignment horizontal="center" vertical="center"/>
    </xf>
    <xf numFmtId="1" fontId="0" fillId="0" borderId="16" xfId="0" applyNumberFormat="1" applyFill="1" applyBorder="1" applyAlignment="1">
      <alignment horizontal="center" vertical="center"/>
    </xf>
    <xf numFmtId="0" fontId="0" fillId="0" borderId="15" xfId="0" applyFont="1" applyFill="1" applyBorder="1" applyAlignment="1">
      <alignment horizontal="center" vertical="center"/>
    </xf>
    <xf numFmtId="0" fontId="0" fillId="0" borderId="19" xfId="0" applyFont="1" applyFill="1" applyBorder="1" applyAlignment="1">
      <alignment horizontal="center"/>
    </xf>
    <xf numFmtId="0" fontId="0" fillId="0" borderId="18" xfId="0" applyFont="1" applyFill="1" applyBorder="1" applyAlignment="1">
      <alignment horizontal="center"/>
    </xf>
    <xf numFmtId="0" fontId="0" fillId="0" borderId="13" xfId="0" applyFont="1" applyFill="1" applyBorder="1" applyAlignment="1">
      <alignment horizontal="center"/>
    </xf>
    <xf numFmtId="0" fontId="0" fillId="0" borderId="16" xfId="0" applyFont="1" applyFill="1" applyBorder="1" applyAlignment="1">
      <alignment horizontal="center"/>
    </xf>
    <xf numFmtId="0" fontId="0" fillId="0" borderId="15" xfId="0" applyFont="1" applyFill="1" applyBorder="1" applyAlignment="1">
      <alignment horizontal="center" wrapText="1"/>
    </xf>
    <xf numFmtId="0" fontId="0" fillId="0" borderId="2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Border="1" applyAlignment="1">
      <alignment horizontal="center" vertical="center"/>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3"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42" xfId="0" applyNumberFormat="1" applyFont="1" applyFill="1" applyBorder="1" applyAlignment="1">
      <alignment horizontal="center" vertical="center"/>
    </xf>
    <xf numFmtId="170" fontId="0" fillId="0" borderId="23" xfId="0" applyNumberFormat="1" applyFont="1" applyFill="1" applyBorder="1" applyAlignment="1" quotePrefix="1">
      <alignment horizontal="center" vertical="center"/>
    </xf>
    <xf numFmtId="170" fontId="0" fillId="0" borderId="17" xfId="0" applyNumberFormat="1" applyFont="1" applyFill="1" applyBorder="1" applyAlignment="1" quotePrefix="1">
      <alignment horizontal="center" vertical="center"/>
    </xf>
    <xf numFmtId="170" fontId="0" fillId="0" borderId="42" xfId="0" applyNumberFormat="1" applyFont="1" applyFill="1" applyBorder="1" applyAlignment="1" quotePrefix="1">
      <alignment horizontal="center" vertical="center"/>
    </xf>
    <xf numFmtId="170" fontId="0" fillId="0" borderId="23" xfId="0" applyNumberFormat="1" applyFont="1" applyFill="1" applyBorder="1" applyAlignment="1">
      <alignment horizontal="center" vertical="center" wrapText="1"/>
    </xf>
    <xf numFmtId="170" fontId="0" fillId="0" borderId="17" xfId="0" applyNumberFormat="1" applyFont="1" applyFill="1" applyBorder="1" applyAlignment="1">
      <alignment horizontal="center" vertical="center" wrapText="1"/>
    </xf>
    <xf numFmtId="170" fontId="0" fillId="0" borderId="42" xfId="0" applyNumberFormat="1" applyFont="1" applyFill="1" applyBorder="1" applyAlignment="1">
      <alignment horizontal="center" vertical="center" wrapText="1"/>
    </xf>
    <xf numFmtId="0" fontId="0" fillId="0" borderId="15" xfId="0" applyBorder="1" applyAlignment="1">
      <alignment horizontal="center" wrapText="1"/>
    </xf>
    <xf numFmtId="0" fontId="0" fillId="0" borderId="22" xfId="0" applyBorder="1" applyAlignment="1">
      <alignment horizontal="center" wrapText="1"/>
    </xf>
    <xf numFmtId="0" fontId="0" fillId="0" borderId="14" xfId="0"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4.02.01%20JB%20Final%20Diet%20Analy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utrient Analysis"/>
      <sheetName val="Nutri SS OD RR BAU "/>
      <sheetName val="2014 Graphs"/>
      <sheetName val="Summary Anal OD RR BAU"/>
      <sheetName val="From Hannah 19"/>
      <sheetName val="New Servings HR-"/>
      <sheetName val="old Serving data  gr 216 2013"/>
      <sheetName val="Veg Identified "/>
      <sheetName val="wgts notes"/>
      <sheetName val="Dry Bean data"/>
      <sheetName val="Cheese % "/>
      <sheetName val="Fats"/>
      <sheetName val="Sheet2"/>
      <sheetName val="Grain assumptions"/>
      <sheetName val="BAGELS FR"/>
      <sheetName val="Sheet7"/>
      <sheetName val="ButmilkBiscFR"/>
      <sheetName val="WheatBR FR"/>
      <sheetName val="White bread FR"/>
      <sheetName val="Ryebred FR"/>
      <sheetName val="WG Cracker FR"/>
      <sheetName val="Crisp"/>
      <sheetName val="Saltines"/>
      <sheetName val="Ritz"/>
    </sheetNames>
    <sheetDataSet>
      <sheetData sheetId="1">
        <row r="542">
          <cell r="D542">
            <v>16.1772</v>
          </cell>
        </row>
        <row r="545">
          <cell r="D545">
            <v>17.68</v>
          </cell>
        </row>
        <row r="548">
          <cell r="D548">
            <v>192.3584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4.vml"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5.vml"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6.vml"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7.vml"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8.vml"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9.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20.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N88"/>
  <sheetViews>
    <sheetView tabSelected="1" zoomScalePageLayoutView="0" workbookViewId="0" topLeftCell="A1">
      <pane ySplit="6" topLeftCell="A49" activePane="bottomLeft" state="frozen"/>
      <selection pane="topLeft" activeCell="A1" sqref="A1"/>
      <selection pane="bottomLeft" activeCell="L80" sqref="L80"/>
    </sheetView>
  </sheetViews>
  <sheetFormatPr defaultColWidth="11.421875" defaultRowHeight="12.75"/>
  <cols>
    <col min="1" max="1" width="32.8515625" style="27" customWidth="1"/>
    <col min="2" max="2" width="11.28125" style="27" bestFit="1" customWidth="1"/>
    <col min="3" max="3" width="11.421875" style="27" customWidth="1"/>
    <col min="4" max="4" width="1.7109375" style="27" customWidth="1"/>
    <col min="5" max="5" width="8.28125" style="27" customWidth="1"/>
    <col min="6" max="6" width="1.28515625" style="27" customWidth="1"/>
    <col min="7" max="7" width="10.8515625" style="27" customWidth="1"/>
    <col min="8" max="8" width="1.28515625" style="27" customWidth="1"/>
    <col min="9" max="9" width="21.8515625" style="27" customWidth="1"/>
    <col min="10" max="10" width="11.421875" style="27" customWidth="1"/>
    <col min="11" max="11" width="11.140625" style="27" customWidth="1"/>
    <col min="12" max="12" width="19.7109375" style="27" customWidth="1"/>
    <col min="13" max="16384" width="11.421875" style="27" customWidth="1"/>
  </cols>
  <sheetData>
    <row r="1" ht="15">
      <c r="A1" s="50" t="s">
        <v>1222</v>
      </c>
    </row>
    <row r="2" spans="1:12" ht="12.75">
      <c r="A2" s="40" t="s">
        <v>1220</v>
      </c>
      <c r="L2" s="95"/>
    </row>
    <row r="3" spans="1:8" ht="12.75">
      <c r="A3" s="40" t="s">
        <v>1221</v>
      </c>
      <c r="D3" s="40"/>
      <c r="F3" s="40"/>
      <c r="H3" s="40"/>
    </row>
    <row r="4" spans="1:8" ht="12.75">
      <c r="A4" s="40"/>
      <c r="D4" s="40"/>
      <c r="E4" s="40" t="s">
        <v>115</v>
      </c>
      <c r="F4" s="40"/>
      <c r="G4" s="40" t="s">
        <v>63</v>
      </c>
      <c r="H4" s="40"/>
    </row>
    <row r="5" spans="2:7" ht="12.75">
      <c r="B5" s="27" t="s">
        <v>19</v>
      </c>
      <c r="C5" s="27" t="s">
        <v>19</v>
      </c>
      <c r="D5" s="40"/>
      <c r="E5" s="40" t="s">
        <v>19</v>
      </c>
      <c r="F5" s="40"/>
      <c r="G5" s="27" t="s">
        <v>1223</v>
      </c>
    </row>
    <row r="6" spans="1:9" s="109" customFormat="1" ht="13.5" thickBot="1">
      <c r="A6" s="109" t="s">
        <v>0</v>
      </c>
      <c r="B6" s="109" t="s">
        <v>2</v>
      </c>
      <c r="C6" s="109" t="s">
        <v>1</v>
      </c>
      <c r="D6" s="955"/>
      <c r="E6" s="955" t="s">
        <v>1</v>
      </c>
      <c r="F6" s="955"/>
      <c r="G6" s="109" t="s">
        <v>3</v>
      </c>
      <c r="I6" s="109" t="s">
        <v>1025</v>
      </c>
    </row>
    <row r="7" spans="1:12" ht="12.75">
      <c r="A7" s="27" t="s">
        <v>21</v>
      </c>
      <c r="B7" s="39"/>
      <c r="C7" s="18">
        <v>40.54012413380993</v>
      </c>
      <c r="E7" s="324">
        <v>0</v>
      </c>
      <c r="G7" s="18">
        <f>Veg!M8</f>
        <v>40.54012413380993</v>
      </c>
      <c r="H7" s="39"/>
      <c r="I7" s="27" t="s">
        <v>27</v>
      </c>
      <c r="L7" s="95"/>
    </row>
    <row r="8" spans="1:12" ht="12.75">
      <c r="A8" s="27" t="s">
        <v>22</v>
      </c>
      <c r="C8" s="18">
        <v>96.65231739098607</v>
      </c>
      <c r="E8" s="324">
        <v>0</v>
      </c>
      <c r="G8" s="18">
        <f>Veg!M11</f>
        <v>96.65231739098607</v>
      </c>
      <c r="I8" s="27" t="s">
        <v>26</v>
      </c>
      <c r="L8" s="95"/>
    </row>
    <row r="9" spans="1:9" ht="12.75">
      <c r="A9" s="40" t="s">
        <v>31</v>
      </c>
      <c r="C9" s="18">
        <v>262.1600669735697</v>
      </c>
      <c r="E9" s="324">
        <v>0</v>
      </c>
      <c r="G9" s="18">
        <f>Veg!M9</f>
        <v>262.1600669735697</v>
      </c>
      <c r="I9" s="6" t="s">
        <v>25</v>
      </c>
    </row>
    <row r="10" spans="1:9" s="97" customFormat="1" ht="12.75">
      <c r="A10" s="97" t="s">
        <v>23</v>
      </c>
      <c r="C10" s="18">
        <v>131.3178048861109</v>
      </c>
      <c r="E10" s="987">
        <v>0</v>
      </c>
      <c r="G10" s="294">
        <f>Veg!M10</f>
        <v>131.3178048861109</v>
      </c>
      <c r="I10" s="27" t="s">
        <v>24</v>
      </c>
    </row>
    <row r="11" spans="1:10" ht="12.75">
      <c r="A11" s="27" t="s">
        <v>28</v>
      </c>
      <c r="C11" s="297">
        <f>SUM(C7:C10)</f>
        <v>530.6703133844767</v>
      </c>
      <c r="E11" s="324">
        <v>0</v>
      </c>
      <c r="G11" s="18">
        <f>SUM(G7:G10)</f>
        <v>530.6703133844767</v>
      </c>
      <c r="H11" s="39"/>
      <c r="I11" s="158" t="s">
        <v>1224</v>
      </c>
      <c r="J11" s="11"/>
    </row>
    <row r="12" spans="2:7" ht="12.75">
      <c r="B12" s="39"/>
      <c r="C12" s="18"/>
      <c r="G12" s="28"/>
    </row>
    <row r="13" spans="1:13" ht="12.75">
      <c r="A13" s="27" t="s">
        <v>5</v>
      </c>
      <c r="B13" s="39"/>
      <c r="C13" s="18">
        <v>45.048</v>
      </c>
      <c r="E13" s="324">
        <v>0</v>
      </c>
      <c r="F13" s="39"/>
      <c r="G13" s="18">
        <f>Fruit!L9</f>
        <v>45.048</v>
      </c>
      <c r="H13" s="39"/>
      <c r="I13" s="40" t="s">
        <v>1214</v>
      </c>
      <c r="J13" s="82"/>
      <c r="M13" s="95"/>
    </row>
    <row r="14" spans="1:13" ht="12.75">
      <c r="A14" s="27" t="s">
        <v>6</v>
      </c>
      <c r="B14" s="39"/>
      <c r="C14" s="18">
        <v>13.669</v>
      </c>
      <c r="E14" s="324">
        <v>0</v>
      </c>
      <c r="G14" s="18">
        <f>Fruit!L10</f>
        <v>13.669</v>
      </c>
      <c r="H14" s="39"/>
      <c r="I14" s="40" t="s">
        <v>1215</v>
      </c>
      <c r="J14" s="82"/>
      <c r="M14" s="95"/>
    </row>
    <row r="15" spans="1:13" ht="12.75">
      <c r="A15" s="40" t="s">
        <v>98</v>
      </c>
      <c r="B15" s="39"/>
      <c r="C15" s="18">
        <v>182</v>
      </c>
      <c r="E15" s="324">
        <v>0</v>
      </c>
      <c r="G15" s="18">
        <f>Fruit!L8</f>
        <v>182</v>
      </c>
      <c r="H15" s="39"/>
      <c r="I15" s="40" t="s">
        <v>1213</v>
      </c>
      <c r="M15" s="95"/>
    </row>
    <row r="16" spans="1:13" ht="12.75">
      <c r="A16" s="40" t="s">
        <v>1158</v>
      </c>
      <c r="B16" s="39"/>
      <c r="C16" s="18">
        <v>95.03920064832226</v>
      </c>
      <c r="E16" s="324">
        <v>0</v>
      </c>
      <c r="G16" s="18">
        <f>Fruit!L12+Fruit!L13</f>
        <v>95.03920064832226</v>
      </c>
      <c r="H16" s="39"/>
      <c r="I16" s="40" t="s">
        <v>1216</v>
      </c>
      <c r="M16" s="95"/>
    </row>
    <row r="17" spans="1:13" ht="12.75">
      <c r="A17" s="40" t="s">
        <v>1159</v>
      </c>
      <c r="B17" s="39"/>
      <c r="C17" s="18">
        <v>161.6418529411538</v>
      </c>
      <c r="E17" s="324">
        <v>0</v>
      </c>
      <c r="G17" s="18">
        <f>Fruit!L11+Fruit!L14+Fruit!L15</f>
        <v>161.6418529411538</v>
      </c>
      <c r="H17" s="39"/>
      <c r="I17" s="40" t="s">
        <v>1217</v>
      </c>
      <c r="M17" s="95"/>
    </row>
    <row r="18" spans="1:13" ht="12.75">
      <c r="A18" s="40" t="s">
        <v>410</v>
      </c>
      <c r="B18" s="39"/>
      <c r="C18" s="18">
        <v>0</v>
      </c>
      <c r="D18" s="18"/>
      <c r="E18" s="18">
        <f>G18-C18</f>
        <v>120.87770552037146</v>
      </c>
      <c r="F18" s="18"/>
      <c r="G18" s="18">
        <f>Fruit!L19</f>
        <v>120.87770552037146</v>
      </c>
      <c r="H18" s="39"/>
      <c r="I18" s="40"/>
      <c r="J18" s="82"/>
      <c r="M18" s="95"/>
    </row>
    <row r="19" spans="1:13" ht="12.75">
      <c r="A19" s="40" t="s">
        <v>411</v>
      </c>
      <c r="B19" s="39"/>
      <c r="C19" s="18">
        <v>0</v>
      </c>
      <c r="D19" s="18"/>
      <c r="E19" s="18">
        <f>G19-C19</f>
        <v>142.31328780543012</v>
      </c>
      <c r="F19" s="18"/>
      <c r="G19" s="18">
        <f>Fruit!L18+Fruit!L22+Fruit!L23+Fruit!L25</f>
        <v>142.31328780543012</v>
      </c>
      <c r="H19" s="39"/>
      <c r="J19" s="82"/>
      <c r="M19" s="95"/>
    </row>
    <row r="20" spans="1:13" ht="12.75">
      <c r="A20" s="40" t="s">
        <v>1165</v>
      </c>
      <c r="B20" s="39"/>
      <c r="C20" s="18">
        <v>0</v>
      </c>
      <c r="D20" s="18"/>
      <c r="E20" s="18">
        <f>G20-C20</f>
        <v>120.8025324709098</v>
      </c>
      <c r="F20" s="18"/>
      <c r="G20" s="18">
        <f>Fruit!L20+Fruit!L21+Fruit!L26+Fruit!L27</f>
        <v>120.8025324709098</v>
      </c>
      <c r="H20" s="39"/>
      <c r="I20" s="40"/>
      <c r="J20" s="82"/>
      <c r="M20" s="95"/>
    </row>
    <row r="21" spans="1:14" s="11" customFormat="1" ht="12.75">
      <c r="A21" s="11" t="s">
        <v>29</v>
      </c>
      <c r="B21" s="74"/>
      <c r="C21" s="297">
        <f>SUM(C13:C20)</f>
        <v>497.39805358947604</v>
      </c>
      <c r="D21" s="297"/>
      <c r="E21" s="229">
        <f>SUM(E13:E20)</f>
        <v>383.99352579671137</v>
      </c>
      <c r="F21" s="229"/>
      <c r="G21" s="297">
        <f>SUM(G13:G20)</f>
        <v>881.3915793861875</v>
      </c>
      <c r="H21" s="74"/>
      <c r="I21" s="158"/>
      <c r="J21" s="74"/>
      <c r="N21" s="158"/>
    </row>
    <row r="22" spans="2:10" ht="12.75">
      <c r="B22" s="39"/>
      <c r="C22" s="18"/>
      <c r="D22" s="18"/>
      <c r="E22" s="18"/>
      <c r="F22" s="18"/>
      <c r="G22" s="18"/>
      <c r="H22" s="39"/>
      <c r="J22" s="39"/>
    </row>
    <row r="23" spans="1:12" ht="12.75">
      <c r="A23" s="40" t="s">
        <v>112</v>
      </c>
      <c r="B23" s="39"/>
      <c r="C23" s="18">
        <v>121</v>
      </c>
      <c r="D23" s="28"/>
      <c r="E23" s="28">
        <f>G23-C23</f>
        <v>77.60185982046235</v>
      </c>
      <c r="F23" s="28"/>
      <c r="G23" s="28">
        <f>Veg!M12</f>
        <v>198.60185982046235</v>
      </c>
      <c r="H23" s="29"/>
      <c r="I23" s="40" t="s">
        <v>988</v>
      </c>
      <c r="L23" s="95"/>
    </row>
    <row r="24" spans="1:12" ht="12.75">
      <c r="A24" s="82" t="s">
        <v>113</v>
      </c>
      <c r="B24" s="29"/>
      <c r="C24" s="78">
        <v>0</v>
      </c>
      <c r="D24" s="28"/>
      <c r="E24" s="28">
        <f>G24-C24</f>
        <v>67.04081632653062</v>
      </c>
      <c r="F24" s="28"/>
      <c r="G24" s="78">
        <f>Protein!K22</f>
        <v>67.04081632653062</v>
      </c>
      <c r="H24" s="29"/>
      <c r="I24" s="82" t="s">
        <v>1184</v>
      </c>
      <c r="L24" s="95"/>
    </row>
    <row r="25" spans="1:12" s="97" customFormat="1" ht="12.75">
      <c r="A25" s="57" t="s">
        <v>367</v>
      </c>
      <c r="B25" s="157"/>
      <c r="C25" s="294">
        <v>27.13556851311953</v>
      </c>
      <c r="D25" s="990"/>
      <c r="E25" s="990">
        <f>G25-C25</f>
        <v>0</v>
      </c>
      <c r="F25" s="990"/>
      <c r="G25" s="294">
        <f>Protein!K23</f>
        <v>27.13556851311953</v>
      </c>
      <c r="H25" s="56"/>
      <c r="I25" s="57" t="s">
        <v>1184</v>
      </c>
      <c r="L25" s="102"/>
    </row>
    <row r="26" spans="1:12" ht="12.75">
      <c r="A26" s="40" t="s">
        <v>114</v>
      </c>
      <c r="B26" s="39"/>
      <c r="C26" s="18">
        <f>C23+C24+G25</f>
        <v>148.13556851311952</v>
      </c>
      <c r="D26" s="18"/>
      <c r="E26" s="18">
        <f>E23+E24+E25</f>
        <v>144.64267614699298</v>
      </c>
      <c r="F26" s="18"/>
      <c r="G26" s="18">
        <f>SUM(G23:G25)</f>
        <v>292.77824466011253</v>
      </c>
      <c r="H26" s="39"/>
      <c r="I26" s="40"/>
      <c r="L26" s="95"/>
    </row>
    <row r="27" spans="2:8" ht="12.75">
      <c r="B27" s="39"/>
      <c r="C27" s="18"/>
      <c r="D27" s="18"/>
      <c r="E27" s="18"/>
      <c r="F27" s="18"/>
      <c r="G27" s="18"/>
      <c r="H27" s="39"/>
    </row>
    <row r="28" spans="1:13" ht="12.75">
      <c r="A28" s="40" t="s">
        <v>1029</v>
      </c>
      <c r="B28" s="39"/>
      <c r="C28" s="18">
        <v>90</v>
      </c>
      <c r="D28" s="18"/>
      <c r="E28" s="18">
        <f aca="true" t="shared" si="0" ref="E28:E33">G28-C28</f>
        <v>908.5000533219961</v>
      </c>
      <c r="F28" s="18"/>
      <c r="G28" s="18">
        <f>Grain!L7+Grain!L8</f>
        <v>998.5000533219961</v>
      </c>
      <c r="H28" s="39"/>
      <c r="I28" s="40"/>
      <c r="M28" s="95"/>
    </row>
    <row r="29" spans="1:9" ht="12.75">
      <c r="A29" s="40" t="s">
        <v>69</v>
      </c>
      <c r="B29" s="39"/>
      <c r="C29" s="18">
        <v>40</v>
      </c>
      <c r="D29" s="18"/>
      <c r="E29" s="18">
        <f t="shared" si="0"/>
        <v>27.425906190818495</v>
      </c>
      <c r="F29" s="18"/>
      <c r="G29" s="18">
        <f>Grain!L9</f>
        <v>67.4259061908185</v>
      </c>
      <c r="H29" s="39"/>
      <c r="I29" s="40"/>
    </row>
    <row r="30" spans="1:9" ht="12.75">
      <c r="A30" s="40" t="s">
        <v>575</v>
      </c>
      <c r="B30" s="39"/>
      <c r="C30" s="18">
        <v>0</v>
      </c>
      <c r="D30" s="18"/>
      <c r="E30" s="18">
        <f t="shared" si="0"/>
        <v>59.11487193941492</v>
      </c>
      <c r="F30" s="18"/>
      <c r="G30" s="18">
        <f>Grain!L10+Grain!L11</f>
        <v>59.11487193941492</v>
      </c>
      <c r="H30" s="39"/>
      <c r="I30" s="40"/>
    </row>
    <row r="31" spans="1:9" ht="12.75">
      <c r="A31" s="40" t="s">
        <v>577</v>
      </c>
      <c r="B31" s="39"/>
      <c r="C31" s="18">
        <v>26</v>
      </c>
      <c r="D31" s="18"/>
      <c r="E31" s="18">
        <f t="shared" si="0"/>
        <v>14.38595778890403</v>
      </c>
      <c r="F31" s="18"/>
      <c r="G31" s="18">
        <f>Grain!L12</f>
        <v>40.38595778890403</v>
      </c>
      <c r="H31" s="39"/>
      <c r="I31" s="40"/>
    </row>
    <row r="32" spans="1:9" s="97" customFormat="1" ht="12.75">
      <c r="A32" s="57" t="s">
        <v>1030</v>
      </c>
      <c r="B32" s="157"/>
      <c r="C32" s="294">
        <v>60</v>
      </c>
      <c r="D32" s="294"/>
      <c r="E32" s="294">
        <f t="shared" si="0"/>
        <v>168.81856185207334</v>
      </c>
      <c r="F32" s="294"/>
      <c r="G32" s="294">
        <f>Grain!L17</f>
        <v>228.81856185207334</v>
      </c>
      <c r="H32" s="157"/>
      <c r="I32" s="57"/>
    </row>
    <row r="33" spans="1:10" ht="12.75">
      <c r="A33" s="27" t="s">
        <v>15</v>
      </c>
      <c r="B33" s="39"/>
      <c r="C33" s="18">
        <f>SUM(C28:C32)</f>
        <v>216</v>
      </c>
      <c r="D33" s="18"/>
      <c r="E33" s="18">
        <f t="shared" si="0"/>
        <v>1178.245351093207</v>
      </c>
      <c r="F33" s="18"/>
      <c r="G33" s="18">
        <f>SUM(G28:G32)</f>
        <v>1394.245351093207</v>
      </c>
      <c r="H33" s="39"/>
      <c r="J33" s="39"/>
    </row>
    <row r="34" spans="2:12" ht="12.75">
      <c r="B34" s="39"/>
      <c r="C34" s="18"/>
      <c r="D34" s="18"/>
      <c r="E34" s="18"/>
      <c r="F34" s="18"/>
      <c r="G34" s="18"/>
      <c r="H34" s="39"/>
      <c r="L34" s="95"/>
    </row>
    <row r="35" spans="1:13" ht="12.75">
      <c r="A35" s="40" t="s">
        <v>1005</v>
      </c>
      <c r="B35" s="18">
        <v>1411.764705882353</v>
      </c>
      <c r="C35" s="18">
        <v>705.8823529411765</v>
      </c>
      <c r="D35" s="18"/>
      <c r="E35" s="18"/>
      <c r="F35" s="18"/>
      <c r="G35" s="18">
        <f>(Livestock!K13/1000)+(Livestock!L13/1000)</f>
        <v>2117.6470588235293</v>
      </c>
      <c r="H35" s="39"/>
      <c r="I35" s="40" t="s">
        <v>1185</v>
      </c>
      <c r="J35" s="27" t="s">
        <v>349</v>
      </c>
      <c r="M35" s="95"/>
    </row>
    <row r="36" spans="1:12" ht="12.75">
      <c r="A36" s="40" t="s">
        <v>1004</v>
      </c>
      <c r="B36" s="18">
        <v>23.529411764705884</v>
      </c>
      <c r="C36" s="18">
        <v>8.823529411764707</v>
      </c>
      <c r="D36" s="18"/>
      <c r="E36" s="18"/>
      <c r="F36" s="18"/>
      <c r="G36" s="18">
        <f>(Livestock!K14/1000)+Livestock!L14/1000</f>
        <v>32.352941176470594</v>
      </c>
      <c r="H36" s="39"/>
      <c r="I36" s="40" t="s">
        <v>1186</v>
      </c>
      <c r="L36" s="95"/>
    </row>
    <row r="37" spans="1:12" ht="12.75">
      <c r="A37" s="40" t="s">
        <v>1003</v>
      </c>
      <c r="B37" s="18">
        <v>228</v>
      </c>
      <c r="C37" s="18">
        <v>114</v>
      </c>
      <c r="D37" s="18"/>
      <c r="E37" s="18"/>
      <c r="F37" s="18"/>
      <c r="G37" s="18">
        <f>(Livestock!K15/1000)+(Livestock!L15/1000)</f>
        <v>342</v>
      </c>
      <c r="H37" s="39"/>
      <c r="I37" s="40" t="s">
        <v>1187</v>
      </c>
      <c r="L37" s="95"/>
    </row>
    <row r="38" spans="1:12" ht="12.75">
      <c r="A38" s="40" t="s">
        <v>1002</v>
      </c>
      <c r="B38" s="18">
        <v>127.05882352941177</v>
      </c>
      <c r="C38" s="18">
        <v>63.529411764705884</v>
      </c>
      <c r="D38" s="18"/>
      <c r="E38" s="18"/>
      <c r="F38" s="18"/>
      <c r="G38" s="18">
        <f>(Livestock!K17/1000)+(Livestock!L17/1000)</f>
        <v>190.58823529411765</v>
      </c>
      <c r="H38" s="39"/>
      <c r="I38" s="40" t="s">
        <v>1188</v>
      </c>
      <c r="L38" s="95"/>
    </row>
    <row r="39" spans="1:12" ht="12.75">
      <c r="A39" s="40" t="s">
        <v>1001</v>
      </c>
      <c r="B39" s="18">
        <v>328.94117647058823</v>
      </c>
      <c r="C39" s="18">
        <v>164.47058823529412</v>
      </c>
      <c r="D39" s="18"/>
      <c r="E39" s="18"/>
      <c r="F39" s="18"/>
      <c r="G39" s="18">
        <f>(Livestock!K16/1000)+(Livestock!L16/1000)</f>
        <v>493.4117647058823</v>
      </c>
      <c r="H39" s="39"/>
      <c r="I39" s="40" t="s">
        <v>1189</v>
      </c>
      <c r="L39" s="95"/>
    </row>
    <row r="40" spans="1:9" s="40" customFormat="1" ht="12.75">
      <c r="A40" s="40" t="s">
        <v>1000</v>
      </c>
      <c r="B40" s="111">
        <v>449.54008394333056</v>
      </c>
      <c r="C40" s="76">
        <v>224.77004197166528</v>
      </c>
      <c r="D40" s="76"/>
      <c r="E40" s="18"/>
      <c r="F40" s="76"/>
      <c r="G40" s="76">
        <f>(Livestock!K7/1000)+(Livestock!L7/1000)</f>
        <v>674.3101259149959</v>
      </c>
      <c r="H40" s="111"/>
      <c r="I40" s="40" t="s">
        <v>1190</v>
      </c>
    </row>
    <row r="41" spans="1:9" s="40" customFormat="1" ht="12.75">
      <c r="A41" s="40" t="s">
        <v>999</v>
      </c>
      <c r="B41" s="196">
        <v>11.238502098583265</v>
      </c>
      <c r="C41" s="76">
        <v>4.214438286968724</v>
      </c>
      <c r="D41" s="76"/>
      <c r="E41" s="18"/>
      <c r="F41" s="76"/>
      <c r="G41" s="76">
        <f>(Livestock!K8/1000)+(Livestock!L8/1000)</f>
        <v>15.452940385551988</v>
      </c>
      <c r="H41" s="111"/>
      <c r="I41" s="40" t="s">
        <v>1191</v>
      </c>
    </row>
    <row r="42" spans="1:9" s="40" customFormat="1" ht="12.75">
      <c r="A42" s="40" t="s">
        <v>998</v>
      </c>
      <c r="B42" s="111">
        <v>72.60072355684788</v>
      </c>
      <c r="C42" s="76">
        <v>36.30036177842394</v>
      </c>
      <c r="D42" s="76"/>
      <c r="E42" s="18"/>
      <c r="F42" s="76"/>
      <c r="G42" s="76">
        <f>(Livestock!K9/1000)+(Livestock!L9/1000)</f>
        <v>108.90108533527183</v>
      </c>
      <c r="H42" s="111"/>
      <c r="I42" s="40" t="s">
        <v>1192</v>
      </c>
    </row>
    <row r="43" spans="1:9" s="40" customFormat="1" ht="12.75">
      <c r="A43" s="40" t="s">
        <v>989</v>
      </c>
      <c r="B43" s="111">
        <v>104.74283955879602</v>
      </c>
      <c r="C43" s="76">
        <v>52.37141977939801</v>
      </c>
      <c r="D43" s="76"/>
      <c r="E43" s="18"/>
      <c r="F43" s="76"/>
      <c r="G43" s="76">
        <f>(Livestock!K10/1000)+(Livestock!L10/1000)</f>
        <v>157.11425933819402</v>
      </c>
      <c r="H43" s="111"/>
      <c r="I43" s="40" t="s">
        <v>1193</v>
      </c>
    </row>
    <row r="44" spans="1:9" s="40" customFormat="1" ht="12.75">
      <c r="A44" s="40" t="s">
        <v>996</v>
      </c>
      <c r="B44" s="111">
        <v>40.45860755489976</v>
      </c>
      <c r="C44" s="76">
        <v>20.22930377744988</v>
      </c>
      <c r="D44" s="76"/>
      <c r="E44" s="18"/>
      <c r="F44" s="76"/>
      <c r="G44" s="76">
        <f>(Livestock!K11/1000)+(Livestock!L11/1000)</f>
        <v>60.687911332349636</v>
      </c>
      <c r="H44" s="111"/>
      <c r="I44" s="40" t="s">
        <v>1194</v>
      </c>
    </row>
    <row r="45" spans="1:13" ht="12.75">
      <c r="A45" s="40" t="s">
        <v>997</v>
      </c>
      <c r="B45" s="39">
        <v>202.12512564048353</v>
      </c>
      <c r="C45" s="18">
        <v>101.06256282024177</v>
      </c>
      <c r="D45" s="18"/>
      <c r="E45" s="18"/>
      <c r="F45" s="18"/>
      <c r="G45" s="963">
        <f>(Livestock!K18/1000)+(Livestock!L18/1000)</f>
        <v>303.1876884607253</v>
      </c>
      <c r="H45" s="39"/>
      <c r="I45" s="40" t="s">
        <v>1195</v>
      </c>
      <c r="M45" s="95"/>
    </row>
    <row r="46" spans="1:9" ht="12.75">
      <c r="A46" s="40" t="s">
        <v>560</v>
      </c>
      <c r="B46" s="324">
        <v>0</v>
      </c>
      <c r="C46" s="18">
        <v>77.88486774246574</v>
      </c>
      <c r="D46" s="18"/>
      <c r="E46" s="18"/>
      <c r="F46" s="18"/>
      <c r="G46" s="18">
        <f>(Livestock!L46/1000)</f>
        <v>77.88486774246574</v>
      </c>
      <c r="I46" s="40" t="s">
        <v>1196</v>
      </c>
    </row>
    <row r="47" spans="1:9" ht="12.75">
      <c r="A47" s="40" t="s">
        <v>1207</v>
      </c>
      <c r="B47" s="324">
        <v>0</v>
      </c>
      <c r="C47" s="18">
        <v>0</v>
      </c>
      <c r="D47" s="18"/>
      <c r="E47" s="18"/>
      <c r="F47" s="18"/>
      <c r="G47" s="18">
        <v>0</v>
      </c>
      <c r="H47" s="39"/>
      <c r="I47" s="40" t="s">
        <v>1198</v>
      </c>
    </row>
    <row r="48" spans="1:9" ht="12.75">
      <c r="A48" s="40" t="s">
        <v>1208</v>
      </c>
      <c r="B48" s="324">
        <v>0</v>
      </c>
      <c r="C48" s="18">
        <v>0</v>
      </c>
      <c r="D48" s="18"/>
      <c r="E48" s="18"/>
      <c r="F48" s="18"/>
      <c r="G48" s="18">
        <v>0</v>
      </c>
      <c r="H48" s="39"/>
      <c r="I48" s="40" t="s">
        <v>1197</v>
      </c>
    </row>
    <row r="49" spans="1:9" ht="12.75">
      <c r="A49" s="40" t="s">
        <v>118</v>
      </c>
      <c r="B49" s="324">
        <v>0</v>
      </c>
      <c r="C49" s="18">
        <v>0</v>
      </c>
      <c r="D49" s="18"/>
      <c r="E49" s="18"/>
      <c r="F49" s="18"/>
      <c r="G49" s="18">
        <v>0</v>
      </c>
      <c r="H49" s="39"/>
      <c r="I49" s="40" t="s">
        <v>1199</v>
      </c>
    </row>
    <row r="50" spans="1:9" s="97" customFormat="1" ht="12.75">
      <c r="A50" s="57" t="s">
        <v>1209</v>
      </c>
      <c r="B50" s="987">
        <v>0</v>
      </c>
      <c r="C50" s="294">
        <v>0</v>
      </c>
      <c r="D50" s="294"/>
      <c r="E50" s="18"/>
      <c r="F50" s="28"/>
      <c r="G50" s="18">
        <v>0</v>
      </c>
      <c r="H50" s="6"/>
      <c r="I50" s="82" t="s">
        <v>1210</v>
      </c>
    </row>
    <row r="51" spans="1:9" ht="12.75">
      <c r="A51" s="6" t="s">
        <v>18</v>
      </c>
      <c r="B51" s="39">
        <f>SUM(B35:B50)</f>
        <v>2999.999999999999</v>
      </c>
      <c r="C51" s="18">
        <f>SUM(C35:C50)</f>
        <v>1573.5388785095543</v>
      </c>
      <c r="D51" s="18"/>
      <c r="E51" s="297">
        <f>SUM(E35:E50)</f>
        <v>0</v>
      </c>
      <c r="F51" s="297"/>
      <c r="G51" s="297">
        <f>SUM(G35:G50)</f>
        <v>4573.538878509555</v>
      </c>
      <c r="H51" s="74"/>
      <c r="I51" s="11"/>
    </row>
    <row r="52" spans="2:12" ht="12.75">
      <c r="B52" s="39"/>
      <c r="C52" s="18"/>
      <c r="D52" s="18"/>
      <c r="E52" s="18"/>
      <c r="F52" s="18"/>
      <c r="G52" s="18"/>
      <c r="I52" s="40"/>
      <c r="L52" s="95"/>
    </row>
    <row r="53" spans="1:9" ht="12.75">
      <c r="A53" s="27" t="s">
        <v>17</v>
      </c>
      <c r="B53" s="39"/>
      <c r="C53" s="18">
        <v>0</v>
      </c>
      <c r="D53" s="18"/>
      <c r="E53" s="18">
        <f aca="true" t="shared" si="1" ref="E53:E61">G53-C53</f>
        <v>284.9302288271179</v>
      </c>
      <c r="F53" s="18"/>
      <c r="G53" s="18">
        <f>Livestock!J12/1000</f>
        <v>284.9302288271179</v>
      </c>
      <c r="H53" s="39"/>
      <c r="I53" s="40" t="s">
        <v>1200</v>
      </c>
    </row>
    <row r="54" spans="1:13" ht="12.75">
      <c r="A54" s="27" t="s">
        <v>30</v>
      </c>
      <c r="B54" s="39"/>
      <c r="C54" s="18">
        <v>0</v>
      </c>
      <c r="D54" s="18"/>
      <c r="E54" s="18">
        <f t="shared" si="1"/>
        <v>14.036992765472325</v>
      </c>
      <c r="F54" s="18"/>
      <c r="G54" s="18">
        <f>Livestock!J6/1000</f>
        <v>14.036992765472325</v>
      </c>
      <c r="H54" s="39"/>
      <c r="I54" s="40" t="s">
        <v>1201</v>
      </c>
      <c r="M54" s="40"/>
    </row>
    <row r="55" spans="1:13" ht="12.75">
      <c r="A55" s="27" t="s">
        <v>10</v>
      </c>
      <c r="B55" s="39"/>
      <c r="C55" s="18">
        <v>0</v>
      </c>
      <c r="D55" s="18"/>
      <c r="E55" s="18">
        <f t="shared" si="1"/>
        <v>8.121291460579581</v>
      </c>
      <c r="F55" s="18"/>
      <c r="G55" s="18">
        <f>Livestock!J18/1000</f>
        <v>8.121291460579581</v>
      </c>
      <c r="H55" s="39"/>
      <c r="I55" s="40" t="s">
        <v>1202</v>
      </c>
      <c r="L55" s="40"/>
      <c r="M55" s="40"/>
    </row>
    <row r="56" spans="1:13" ht="12.75">
      <c r="A56" s="40" t="s">
        <v>561</v>
      </c>
      <c r="B56" s="39"/>
      <c r="C56" s="18">
        <v>0</v>
      </c>
      <c r="D56" s="18"/>
      <c r="E56" s="18">
        <f t="shared" si="1"/>
        <v>38.30457592483321</v>
      </c>
      <c r="F56" s="18"/>
      <c r="G56" s="18">
        <f>Livestock!J46/1000</f>
        <v>38.30457592483321</v>
      </c>
      <c r="H56" s="39"/>
      <c r="I56" s="276" t="s">
        <v>1203</v>
      </c>
      <c r="L56" s="40"/>
      <c r="M56" s="40"/>
    </row>
    <row r="57" spans="1:13" ht="12.75">
      <c r="A57" s="27" t="s">
        <v>350</v>
      </c>
      <c r="B57" s="39"/>
      <c r="C57" s="18">
        <v>0</v>
      </c>
      <c r="D57" s="18"/>
      <c r="E57" s="18">
        <f t="shared" si="1"/>
        <v>71.2594266440096</v>
      </c>
      <c r="F57" s="18"/>
      <c r="G57" s="18">
        <f>(Livestock!J24+Livestock!J25)/1000</f>
        <v>71.2594266440096</v>
      </c>
      <c r="H57" s="39"/>
      <c r="I57" s="111" t="s">
        <v>1205</v>
      </c>
      <c r="M57" s="95"/>
    </row>
    <row r="58" spans="1:9" ht="12.75">
      <c r="A58" s="27" t="s">
        <v>11</v>
      </c>
      <c r="B58" s="39"/>
      <c r="C58" s="18">
        <v>0</v>
      </c>
      <c r="D58" s="18"/>
      <c r="E58" s="18">
        <f t="shared" si="1"/>
        <v>386.33202163945066</v>
      </c>
      <c r="F58" s="18"/>
      <c r="G58" s="18">
        <f>(Livestock!J26+Livestock!J27)/1000</f>
        <v>386.33202163945066</v>
      </c>
      <c r="H58" s="39"/>
      <c r="I58" s="40" t="s">
        <v>1204</v>
      </c>
    </row>
    <row r="59" spans="1:9" ht="12.75">
      <c r="A59" s="27" t="s">
        <v>12</v>
      </c>
      <c r="B59" s="39"/>
      <c r="C59" s="18">
        <v>0</v>
      </c>
      <c r="D59" s="18"/>
      <c r="E59" s="18">
        <f t="shared" si="1"/>
        <v>315.02980812743357</v>
      </c>
      <c r="F59" s="18"/>
      <c r="G59" s="18">
        <f>Livestock!J28/1000</f>
        <v>315.02980812743357</v>
      </c>
      <c r="H59" s="39"/>
      <c r="I59" s="40" t="s">
        <v>1206</v>
      </c>
    </row>
    <row r="60" spans="1:9" ht="12.75">
      <c r="A60" s="27" t="s">
        <v>13</v>
      </c>
      <c r="C60" s="18">
        <v>0</v>
      </c>
      <c r="D60" s="18"/>
      <c r="E60" s="18">
        <f t="shared" si="1"/>
        <v>1145.427483999742</v>
      </c>
      <c r="F60" s="18"/>
      <c r="G60" s="18">
        <f>Livestock!J33/1000</f>
        <v>1145.427483999742</v>
      </c>
      <c r="I60" s="40" t="s">
        <v>1199</v>
      </c>
    </row>
    <row r="61" spans="1:9" s="6" customFormat="1" ht="12.75">
      <c r="A61" s="6" t="s">
        <v>14</v>
      </c>
      <c r="B61" s="29"/>
      <c r="C61" s="18">
        <v>0</v>
      </c>
      <c r="D61" s="28"/>
      <c r="E61" s="18">
        <f t="shared" si="1"/>
        <v>234.6931497357774</v>
      </c>
      <c r="F61" s="28"/>
      <c r="G61" s="28">
        <f>Livestock!J39/1000</f>
        <v>234.6931497357774</v>
      </c>
      <c r="H61" s="29"/>
      <c r="I61" s="57" t="s">
        <v>1211</v>
      </c>
    </row>
    <row r="62" spans="1:8" s="11" customFormat="1" ht="12.75">
      <c r="A62" s="11" t="s">
        <v>16</v>
      </c>
      <c r="C62" s="297">
        <f>SUM(C53:C61)</f>
        <v>0</v>
      </c>
      <c r="D62" s="297"/>
      <c r="E62" s="297">
        <f>(G62-C62)</f>
        <v>2498.134979124416</v>
      </c>
      <c r="F62" s="297"/>
      <c r="G62" s="297">
        <f>SUM(G53:G61)</f>
        <v>2498.134979124416</v>
      </c>
      <c r="H62" s="74"/>
    </row>
    <row r="63" spans="3:9" s="6" customFormat="1" ht="12.75">
      <c r="C63" s="28"/>
      <c r="D63" s="28"/>
      <c r="E63" s="28"/>
      <c r="F63" s="28"/>
      <c r="G63" s="28"/>
      <c r="H63" s="29"/>
      <c r="I63" s="29"/>
    </row>
    <row r="64" spans="1:9" s="6" customFormat="1" ht="12.75">
      <c r="A64" s="230" t="s">
        <v>116</v>
      </c>
      <c r="C64" s="28">
        <v>0</v>
      </c>
      <c r="D64" s="28"/>
      <c r="E64" s="28">
        <f>G64-C64</f>
        <v>63.63988932368746</v>
      </c>
      <c r="F64" s="231"/>
      <c r="G64" s="231">
        <f>Nuts!M13</f>
        <v>63.63988932368746</v>
      </c>
      <c r="H64" s="29"/>
      <c r="I64" s="82"/>
    </row>
    <row r="65" spans="1:9" s="6" customFormat="1" ht="12.75">
      <c r="A65" s="230" t="s">
        <v>61</v>
      </c>
      <c r="C65" s="28">
        <v>0</v>
      </c>
      <c r="D65" s="28"/>
      <c r="E65" s="28">
        <f>G65-C65</f>
        <v>44.52514333436553</v>
      </c>
      <c r="F65" s="231"/>
      <c r="G65" s="231">
        <f>Nuts!M14</f>
        <v>44.52514333436553</v>
      </c>
      <c r="H65" s="29"/>
      <c r="I65" s="82"/>
    </row>
    <row r="66" spans="1:13" ht="12.75">
      <c r="A66" s="27" t="s">
        <v>8</v>
      </c>
      <c r="B66" s="39"/>
      <c r="C66" s="18">
        <v>0</v>
      </c>
      <c r="D66" s="18"/>
      <c r="E66" s="28">
        <f>G66-C66</f>
        <v>244.02137965766644</v>
      </c>
      <c r="F66" s="232"/>
      <c r="G66" s="232">
        <f>Fat!M12</f>
        <v>244.02137965766644</v>
      </c>
      <c r="H66" s="39"/>
      <c r="I66" s="82" t="s">
        <v>392</v>
      </c>
      <c r="M66" s="95"/>
    </row>
    <row r="67" spans="1:13" s="6" customFormat="1" ht="12.75">
      <c r="A67" s="6" t="s">
        <v>9</v>
      </c>
      <c r="B67" s="29"/>
      <c r="C67" s="28">
        <v>0</v>
      </c>
      <c r="D67" s="28"/>
      <c r="E67" s="28">
        <f>G67-C67</f>
        <v>113.61454441812084</v>
      </c>
      <c r="F67" s="28"/>
      <c r="G67" s="28">
        <f>Sugars!M12</f>
        <v>113.61454441812084</v>
      </c>
      <c r="H67" s="29"/>
      <c r="I67" s="960"/>
      <c r="M67" s="95"/>
    </row>
    <row r="68" spans="1:10" s="6" customFormat="1" ht="12.75">
      <c r="A68" s="82" t="s">
        <v>1019</v>
      </c>
      <c r="C68" s="28">
        <v>0</v>
      </c>
      <c r="D68" s="28"/>
      <c r="E68" s="28">
        <f>G68-C68</f>
        <v>666.7299346625321</v>
      </c>
      <c r="F68" s="28"/>
      <c r="G68" s="28">
        <f>CoffeeTeaChoc!F10</f>
        <v>666.7299346625321</v>
      </c>
      <c r="I68" s="82"/>
      <c r="J68" s="82"/>
    </row>
    <row r="69" spans="1:13" s="6" customFormat="1" ht="12.75">
      <c r="A69" s="6" t="s">
        <v>7</v>
      </c>
      <c r="B69" s="29"/>
      <c r="C69" s="28">
        <v>0</v>
      </c>
      <c r="D69" s="28"/>
      <c r="E69" s="28">
        <v>75</v>
      </c>
      <c r="F69" s="28"/>
      <c r="G69" s="78">
        <v>82</v>
      </c>
      <c r="H69" s="296"/>
      <c r="I69" s="82" t="s">
        <v>1212</v>
      </c>
      <c r="M69" s="99"/>
    </row>
    <row r="70" spans="1:10" s="97" customFormat="1" ht="12.75">
      <c r="A70" s="97" t="s">
        <v>452</v>
      </c>
      <c r="B70" s="3"/>
      <c r="C70" s="294">
        <v>0</v>
      </c>
      <c r="D70" s="991"/>
      <c r="E70" s="28">
        <f>G70-C70</f>
        <v>0.061845133024513575</v>
      </c>
      <c r="F70" s="991"/>
      <c r="G70" s="991">
        <f>Spices!I21</f>
        <v>0.061845133024513575</v>
      </c>
      <c r="H70" s="3"/>
      <c r="I70" s="57"/>
      <c r="J70" s="82"/>
    </row>
    <row r="71" spans="1:10" s="6" customFormat="1" ht="12.75">
      <c r="A71" s="158" t="s">
        <v>60</v>
      </c>
      <c r="B71" s="4"/>
      <c r="C71" s="28">
        <v>0</v>
      </c>
      <c r="D71" s="26"/>
      <c r="E71" s="257">
        <f>SUM(G64:G70)</f>
        <v>1214.5927365293967</v>
      </c>
      <c r="F71" s="26"/>
      <c r="G71" s="26">
        <f>SUM(G64:G70)</f>
        <v>1214.5927365293967</v>
      </c>
      <c r="H71" s="4"/>
      <c r="I71" s="82"/>
      <c r="J71" s="11"/>
    </row>
    <row r="72" spans="1:9" s="6" customFormat="1" ht="12.75">
      <c r="A72" s="82"/>
      <c r="B72" s="4"/>
      <c r="C72" s="28"/>
      <c r="D72" s="26"/>
      <c r="E72" s="26"/>
      <c r="F72" s="26"/>
      <c r="G72" s="26"/>
      <c r="H72" s="4"/>
      <c r="I72" s="82"/>
    </row>
    <row r="73" spans="1:13" s="6" customFormat="1" ht="12.75">
      <c r="A73" s="6" t="s">
        <v>1024</v>
      </c>
      <c r="B73" s="29"/>
      <c r="C73" s="28">
        <v>18.126</v>
      </c>
      <c r="D73" s="28"/>
      <c r="E73" s="28"/>
      <c r="F73" s="28"/>
      <c r="G73" s="28">
        <v>18.126</v>
      </c>
      <c r="H73" s="29"/>
      <c r="I73" t="s">
        <v>1028</v>
      </c>
      <c r="J73"/>
      <c r="M73" s="99"/>
    </row>
    <row r="74" spans="1:10" s="6" customFormat="1" ht="12.75">
      <c r="A74" s="279" t="s">
        <v>555</v>
      </c>
      <c r="C74" s="989">
        <v>9.044</v>
      </c>
      <c r="D74" s="28"/>
      <c r="E74" s="28">
        <v>0</v>
      </c>
      <c r="F74" s="28"/>
      <c r="G74" s="989">
        <v>9.044</v>
      </c>
      <c r="I74" t="s">
        <v>1028</v>
      </c>
      <c r="J74"/>
    </row>
    <row r="75" spans="1:10" s="6" customFormat="1" ht="12.75">
      <c r="A75" s="279" t="s">
        <v>556</v>
      </c>
      <c r="C75" s="989">
        <v>2.222</v>
      </c>
      <c r="D75" s="28"/>
      <c r="E75" s="28">
        <v>0</v>
      </c>
      <c r="F75" s="28"/>
      <c r="G75" s="989">
        <v>2.222</v>
      </c>
      <c r="I75" t="s">
        <v>1028</v>
      </c>
      <c r="J75"/>
    </row>
    <row r="76" spans="1:10" ht="12.75">
      <c r="A76" s="82" t="s">
        <v>558</v>
      </c>
      <c r="C76" s="18">
        <v>4.996</v>
      </c>
      <c r="D76" s="18"/>
      <c r="E76" s="28">
        <v>0</v>
      </c>
      <c r="F76" s="18"/>
      <c r="G76" s="18">
        <v>4.996</v>
      </c>
      <c r="I76" t="s">
        <v>1028</v>
      </c>
      <c r="J76"/>
    </row>
    <row r="77" spans="1:7" s="11" customFormat="1" ht="12.75">
      <c r="A77" s="158" t="s">
        <v>60</v>
      </c>
      <c r="C77" s="297">
        <f>SUM(C73:C76)</f>
        <v>34.388000000000005</v>
      </c>
      <c r="D77" s="297"/>
      <c r="E77" s="297"/>
      <c r="F77" s="297"/>
      <c r="G77" s="297">
        <f>SUM(G73:G76)</f>
        <v>34.388000000000005</v>
      </c>
    </row>
    <row r="78" spans="1:9" s="6" customFormat="1" ht="12.75">
      <c r="A78" s="82"/>
      <c r="B78" s="4"/>
      <c r="D78" s="4"/>
      <c r="E78" s="274"/>
      <c r="F78" s="274"/>
      <c r="G78" s="26"/>
      <c r="H78" s="4"/>
      <c r="I78" s="82"/>
    </row>
    <row r="79" spans="2:8" s="6" customFormat="1" ht="12.75">
      <c r="B79" s="962"/>
      <c r="C79" s="29"/>
      <c r="D79" s="4"/>
      <c r="E79" s="4"/>
      <c r="F79" s="4"/>
      <c r="G79" s="5"/>
      <c r="H79" s="5"/>
    </row>
    <row r="80" spans="1:8" s="961" customFormat="1" ht="12.75">
      <c r="A80" s="7" t="s">
        <v>20</v>
      </c>
      <c r="B80" s="9">
        <f>B11+B21+B77+B26+B33+B51+B62+B71</f>
        <v>2999.999999999999</v>
      </c>
      <c r="C80" s="1127">
        <f>C11+C21+C77+C26+C33+C51+C62+C71</f>
        <v>3000.130813996627</v>
      </c>
      <c r="D80" s="8"/>
      <c r="E80" s="9">
        <f>E11+E21+E77+E26+E33+E51+E62+E71</f>
        <v>5419.609268690724</v>
      </c>
      <c r="F80" s="9"/>
      <c r="G80" s="9">
        <f>G11+G21+G77+G26+G33+G51+G62+G71</f>
        <v>11419.74008268735</v>
      </c>
      <c r="H80" s="9"/>
    </row>
    <row r="81" spans="1:9" ht="12.75">
      <c r="A81"/>
      <c r="B81" s="1"/>
      <c r="D81"/>
      <c r="E81"/>
      <c r="F81"/>
      <c r="G81"/>
      <c r="H81"/>
      <c r="I81" s="6"/>
    </row>
    <row r="82" spans="1:8" ht="12.75">
      <c r="A82" s="995"/>
      <c r="B82" s="996" t="s">
        <v>1031</v>
      </c>
      <c r="C82" s="997" t="s">
        <v>478</v>
      </c>
      <c r="D82"/>
      <c r="E82"/>
      <c r="F82"/>
      <c r="G82" s="46"/>
      <c r="H82"/>
    </row>
    <row r="83" spans="1:8" ht="12.75">
      <c r="A83" s="995" t="s">
        <v>1032</v>
      </c>
      <c r="B83" s="998">
        <f>(C80+B80)</f>
        <v>6000.130813996626</v>
      </c>
      <c r="C83" s="999">
        <f>B83/B85</f>
        <v>0.5254174587644945</v>
      </c>
      <c r="D83"/>
      <c r="E83"/>
      <c r="F83"/>
      <c r="G83"/>
      <c r="H83"/>
    </row>
    <row r="84" spans="1:9" ht="12.75">
      <c r="A84" s="995" t="s">
        <v>1033</v>
      </c>
      <c r="B84" s="1000">
        <f>E80+F80</f>
        <v>5419.609268690724</v>
      </c>
      <c r="C84" s="999">
        <f>B84/B85</f>
        <v>0.47458254123550553</v>
      </c>
      <c r="D84"/>
      <c r="E84"/>
      <c r="F84"/>
      <c r="G84" s="1"/>
      <c r="H84" s="1"/>
      <c r="I84" s="40"/>
    </row>
    <row r="85" spans="1:9" ht="12.75">
      <c r="A85" s="1001" t="s">
        <v>1034</v>
      </c>
      <c r="B85" s="1002">
        <f>B84+B83</f>
        <v>11419.740082687349</v>
      </c>
      <c r="C85" s="1003">
        <f>C84+C83</f>
        <v>1</v>
      </c>
      <c r="D85"/>
      <c r="E85"/>
      <c r="F85"/>
      <c r="G85" s="54"/>
      <c r="H85" s="54"/>
      <c r="I85" s="40"/>
    </row>
    <row r="86" spans="1:3" ht="12.75">
      <c r="A86" s="1004" t="s">
        <v>1035</v>
      </c>
      <c r="B86" s="1005">
        <f>B85/17000</f>
        <v>0.6717494166286676</v>
      </c>
      <c r="C86" s="995"/>
    </row>
    <row r="87" spans="1:9" s="6" customFormat="1" ht="12.75">
      <c r="A87" s="82"/>
      <c r="B87" s="28"/>
      <c r="C87" s="28"/>
      <c r="E87" s="503"/>
      <c r="F87" s="503"/>
      <c r="G87" s="235"/>
      <c r="I87" s="276"/>
    </row>
    <row r="88" spans="1:9" s="6" customFormat="1" ht="12.75">
      <c r="A88" s="82"/>
      <c r="B88" s="119"/>
      <c r="C88" s="28"/>
      <c r="E88" s="503"/>
      <c r="F88" s="503"/>
      <c r="G88" s="235"/>
      <c r="I88" s="82"/>
    </row>
  </sheetData>
  <sheetProtection/>
  <printOptions/>
  <pageMargins left="0.75" right="0.75" top="1" bottom="1" header="0.5" footer="0.5"/>
  <pageSetup fitToHeight="1" fitToWidth="1" horizontalDpi="300" verticalDpi="300" orientation="portrait" scale="82" r:id="rId1"/>
</worksheet>
</file>

<file path=xl/worksheets/sheet10.xml><?xml version="1.0" encoding="utf-8"?>
<worksheet xmlns="http://schemas.openxmlformats.org/spreadsheetml/2006/main" xmlns:r="http://schemas.openxmlformats.org/officeDocument/2006/relationships">
  <dimension ref="A1:IT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26" sqref="A26"/>
    </sheetView>
  </sheetViews>
  <sheetFormatPr defaultColWidth="8.8515625" defaultRowHeight="12.75"/>
  <cols>
    <col min="1" max="1" width="12.00390625" style="0" customWidth="1"/>
    <col min="2" max="2" width="11.28125" style="0" customWidth="1"/>
    <col min="3" max="3" width="9.140625" style="0" customWidth="1"/>
    <col min="4" max="4" width="17.140625" style="0" customWidth="1"/>
    <col min="5" max="5" width="13.421875" style="27" customWidth="1"/>
    <col min="6" max="6" width="16.28125" style="27" customWidth="1"/>
    <col min="7" max="7" width="10.421875" style="27" customWidth="1"/>
    <col min="8" max="8" width="9.421875" style="27" bestFit="1" customWidth="1"/>
    <col min="9" max="9" width="13.421875" style="27" bestFit="1" customWidth="1"/>
    <col min="10" max="10" width="8.140625" style="27" customWidth="1"/>
    <col min="11" max="11" width="11.28125" style="27" customWidth="1"/>
    <col min="12" max="12" width="9.140625" style="27" customWidth="1"/>
    <col min="13" max="13" width="11.8515625" style="27" customWidth="1"/>
    <col min="14" max="14" width="8.8515625" style="0" customWidth="1"/>
    <col min="15" max="15" width="16.00390625" style="0" customWidth="1"/>
  </cols>
  <sheetData>
    <row r="1" ht="15.75">
      <c r="A1" s="113" t="s">
        <v>1143</v>
      </c>
    </row>
    <row r="2" ht="12.75">
      <c r="A2" s="14" t="s">
        <v>847</v>
      </c>
    </row>
    <row r="3" spans="1:5" ht="12.75">
      <c r="A3" t="s">
        <v>109</v>
      </c>
      <c r="B3" s="15">
        <v>17000000</v>
      </c>
      <c r="E3" s="975"/>
    </row>
    <row r="4" spans="3:15" ht="12.75">
      <c r="C4" s="465"/>
      <c r="M4" s="6"/>
      <c r="N4" s="4"/>
      <c r="O4" s="4"/>
    </row>
    <row r="5" spans="3:15" s="704" customFormat="1" ht="24">
      <c r="C5" s="1241" t="s">
        <v>1140</v>
      </c>
      <c r="D5" s="1242"/>
      <c r="E5" s="705" t="s">
        <v>1014</v>
      </c>
      <c r="F5" s="706" t="s">
        <v>45</v>
      </c>
      <c r="G5" s="1243" t="s">
        <v>838</v>
      </c>
      <c r="H5" s="1244"/>
      <c r="I5" s="705" t="s">
        <v>278</v>
      </c>
      <c r="J5" s="706" t="s">
        <v>119</v>
      </c>
      <c r="K5" s="1245" t="s">
        <v>64</v>
      </c>
      <c r="L5" s="1245"/>
      <c r="M5" s="655" t="s">
        <v>839</v>
      </c>
      <c r="N5" s="707"/>
      <c r="O5" s="708"/>
    </row>
    <row r="6" spans="3:254" s="709" customFormat="1" ht="36">
      <c r="C6" s="658" t="s">
        <v>754</v>
      </c>
      <c r="D6" s="655" t="s">
        <v>840</v>
      </c>
      <c r="E6" s="710" t="s">
        <v>754</v>
      </c>
      <c r="F6" s="705" t="s">
        <v>831</v>
      </c>
      <c r="G6" s="705" t="s">
        <v>841</v>
      </c>
      <c r="H6" s="660" t="s">
        <v>67</v>
      </c>
      <c r="I6" s="660" t="s">
        <v>35</v>
      </c>
      <c r="J6" s="660" t="s">
        <v>99</v>
      </c>
      <c r="K6" s="660" t="s">
        <v>279</v>
      </c>
      <c r="L6" s="660" t="s">
        <v>191</v>
      </c>
      <c r="M6" s="658" t="s">
        <v>842</v>
      </c>
      <c r="N6" s="711"/>
      <c r="O6" s="1014" t="s">
        <v>1044</v>
      </c>
      <c r="P6" s="711"/>
      <c r="Q6" s="711"/>
      <c r="R6" s="711"/>
      <c r="S6" s="711"/>
      <c r="T6" s="711"/>
      <c r="U6" s="711"/>
      <c r="V6" s="711"/>
      <c r="W6" s="711"/>
      <c r="X6" s="711"/>
      <c r="Y6" s="711"/>
      <c r="Z6" s="711"/>
      <c r="AA6" s="711"/>
      <c r="AB6" s="711"/>
      <c r="AC6" s="711"/>
      <c r="AD6" s="711"/>
      <c r="AE6" s="711"/>
      <c r="AF6" s="711"/>
      <c r="AG6" s="711"/>
      <c r="AH6" s="711"/>
      <c r="AI6" s="711"/>
      <c r="AJ6" s="711"/>
      <c r="AK6" s="711"/>
      <c r="AL6" s="711"/>
      <c r="AM6" s="711"/>
      <c r="AN6" s="711"/>
      <c r="AO6" s="711"/>
      <c r="AP6" s="711"/>
      <c r="AQ6" s="711"/>
      <c r="AR6" s="711"/>
      <c r="AS6" s="711"/>
      <c r="AT6" s="711"/>
      <c r="AU6" s="711"/>
      <c r="AV6" s="711"/>
      <c r="AW6" s="711"/>
      <c r="AX6" s="711"/>
      <c r="AY6" s="711"/>
      <c r="AZ6" s="711"/>
      <c r="BA6" s="711"/>
      <c r="BB6" s="711"/>
      <c r="BC6" s="711"/>
      <c r="BD6" s="711"/>
      <c r="BE6" s="711"/>
      <c r="BF6" s="711"/>
      <c r="BG6" s="711"/>
      <c r="BH6" s="711"/>
      <c r="BI6" s="711"/>
      <c r="BJ6" s="711"/>
      <c r="BK6" s="711"/>
      <c r="BL6" s="711"/>
      <c r="BM6" s="711"/>
      <c r="BN6" s="711"/>
      <c r="BO6" s="711"/>
      <c r="BP6" s="711"/>
      <c r="BQ6" s="711"/>
      <c r="BR6" s="711"/>
      <c r="BS6" s="711"/>
      <c r="BT6" s="711"/>
      <c r="BU6" s="711"/>
      <c r="BV6" s="711"/>
      <c r="BW6" s="711"/>
      <c r="BX6" s="711"/>
      <c r="BY6" s="711"/>
      <c r="BZ6" s="711"/>
      <c r="CA6" s="711"/>
      <c r="CB6" s="711"/>
      <c r="CC6" s="711"/>
      <c r="CD6" s="711"/>
      <c r="CE6" s="711"/>
      <c r="CF6" s="711"/>
      <c r="CG6" s="711"/>
      <c r="CH6" s="711"/>
      <c r="CI6" s="711"/>
      <c r="CJ6" s="711"/>
      <c r="CK6" s="711"/>
      <c r="CL6" s="711"/>
      <c r="CM6" s="711"/>
      <c r="CN6" s="711"/>
      <c r="CO6" s="711"/>
      <c r="CP6" s="711"/>
      <c r="CQ6" s="711"/>
      <c r="CR6" s="711"/>
      <c r="CS6" s="711"/>
      <c r="CT6" s="711"/>
      <c r="CU6" s="711"/>
      <c r="CV6" s="711"/>
      <c r="CW6" s="711"/>
      <c r="CX6" s="711"/>
      <c r="CY6" s="711"/>
      <c r="CZ6" s="711"/>
      <c r="DA6" s="711"/>
      <c r="DB6" s="711"/>
      <c r="DC6" s="711"/>
      <c r="DD6" s="711"/>
      <c r="DE6" s="711"/>
      <c r="DF6" s="711"/>
      <c r="DG6" s="711"/>
      <c r="DH6" s="711"/>
      <c r="DI6" s="711"/>
      <c r="DJ6" s="711"/>
      <c r="DK6" s="711"/>
      <c r="DL6" s="711"/>
      <c r="DM6" s="711"/>
      <c r="DN6" s="711"/>
      <c r="DO6" s="711"/>
      <c r="DP6" s="711"/>
      <c r="DQ6" s="711"/>
      <c r="DR6" s="711"/>
      <c r="DS6" s="711"/>
      <c r="DT6" s="711"/>
      <c r="DU6" s="711"/>
      <c r="DV6" s="711"/>
      <c r="DW6" s="711"/>
      <c r="DX6" s="711"/>
      <c r="DY6" s="711"/>
      <c r="DZ6" s="711"/>
      <c r="EA6" s="711"/>
      <c r="EB6" s="711"/>
      <c r="EC6" s="711"/>
      <c r="ED6" s="711"/>
      <c r="EE6" s="711"/>
      <c r="EF6" s="711"/>
      <c r="EG6" s="711"/>
      <c r="EH6" s="711"/>
      <c r="EI6" s="711"/>
      <c r="EJ6" s="711"/>
      <c r="EK6" s="711"/>
      <c r="EL6" s="711"/>
      <c r="EM6" s="711"/>
      <c r="EN6" s="711"/>
      <c r="EO6" s="711"/>
      <c r="EP6" s="711"/>
      <c r="EQ6" s="711"/>
      <c r="ER6" s="711"/>
      <c r="ES6" s="711"/>
      <c r="ET6" s="711"/>
      <c r="EU6" s="711"/>
      <c r="EV6" s="711"/>
      <c r="EW6" s="711"/>
      <c r="EX6" s="711"/>
      <c r="EY6" s="711"/>
      <c r="EZ6" s="711"/>
      <c r="FA6" s="711"/>
      <c r="FB6" s="711"/>
      <c r="FC6" s="711"/>
      <c r="FD6" s="711"/>
      <c r="FE6" s="711"/>
      <c r="FF6" s="711"/>
      <c r="FG6" s="711"/>
      <c r="FH6" s="711"/>
      <c r="FI6" s="711"/>
      <c r="FJ6" s="711"/>
      <c r="FK6" s="711"/>
      <c r="FL6" s="711"/>
      <c r="FM6" s="711"/>
      <c r="FN6" s="711"/>
      <c r="FO6" s="711"/>
      <c r="FP6" s="711"/>
      <c r="FQ6" s="711"/>
      <c r="FR6" s="711"/>
      <c r="FS6" s="711"/>
      <c r="FT6" s="711"/>
      <c r="FU6" s="711"/>
      <c r="FV6" s="711"/>
      <c r="FW6" s="711"/>
      <c r="FX6" s="711"/>
      <c r="FY6" s="711"/>
      <c r="FZ6" s="711"/>
      <c r="GA6" s="711"/>
      <c r="GB6" s="711"/>
      <c r="GC6" s="711"/>
      <c r="GD6" s="711"/>
      <c r="GE6" s="711"/>
      <c r="GF6" s="711"/>
      <c r="GG6" s="711"/>
      <c r="GH6" s="711"/>
      <c r="GI6" s="711"/>
      <c r="GJ6" s="711"/>
      <c r="GK6" s="711"/>
      <c r="GL6" s="711"/>
      <c r="GM6" s="711"/>
      <c r="GN6" s="711"/>
      <c r="GO6" s="711"/>
      <c r="GP6" s="711"/>
      <c r="GQ6" s="711"/>
      <c r="GR6" s="711"/>
      <c r="GS6" s="711"/>
      <c r="GT6" s="711"/>
      <c r="GU6" s="711"/>
      <c r="GV6" s="711"/>
      <c r="GW6" s="711"/>
      <c r="GX6" s="711"/>
      <c r="GY6" s="711"/>
      <c r="GZ6" s="711"/>
      <c r="HA6" s="711"/>
      <c r="HB6" s="711"/>
      <c r="HC6" s="711"/>
      <c r="HD6" s="711"/>
      <c r="HE6" s="711"/>
      <c r="HF6" s="711"/>
      <c r="HG6" s="711"/>
      <c r="HH6" s="711"/>
      <c r="HI6" s="711"/>
      <c r="HJ6" s="711"/>
      <c r="HK6" s="711"/>
      <c r="HL6" s="711"/>
      <c r="HM6" s="711"/>
      <c r="HN6" s="711"/>
      <c r="HO6" s="711"/>
      <c r="HP6" s="711"/>
      <c r="HQ6" s="711"/>
      <c r="HR6" s="711"/>
      <c r="HS6" s="711"/>
      <c r="HT6" s="711"/>
      <c r="HU6" s="711"/>
      <c r="HV6" s="711"/>
      <c r="HW6" s="711"/>
      <c r="HX6" s="711"/>
      <c r="HY6" s="711"/>
      <c r="HZ6" s="711"/>
      <c r="IA6" s="711"/>
      <c r="IB6" s="711"/>
      <c r="IC6" s="711"/>
      <c r="ID6" s="711"/>
      <c r="IE6" s="711"/>
      <c r="IF6" s="711"/>
      <c r="IG6" s="711"/>
      <c r="IH6" s="711"/>
      <c r="II6" s="711"/>
      <c r="IJ6" s="711"/>
      <c r="IK6" s="711"/>
      <c r="IL6" s="711"/>
      <c r="IM6" s="711"/>
      <c r="IN6" s="711"/>
      <c r="IO6" s="711"/>
      <c r="IP6" s="711"/>
      <c r="IQ6" s="711"/>
      <c r="IR6" s="711"/>
      <c r="IS6" s="711"/>
      <c r="IT6" s="711"/>
    </row>
    <row r="7" spans="1:15" s="4" customFormat="1" ht="12.75">
      <c r="A7" s="14" t="s">
        <v>580</v>
      </c>
      <c r="B7"/>
      <c r="C7" s="712">
        <v>4.414053862790351</v>
      </c>
      <c r="D7" s="441">
        <f aca="true" t="shared" si="0" ref="D7:D12">C7/$C$13</f>
        <v>0.5868243018737621</v>
      </c>
      <c r="E7" s="100">
        <f>((D7+D8)*$E$13)/2</f>
        <v>2.588930743560715</v>
      </c>
      <c r="F7" s="713">
        <f>GrainCurrent!AF9</f>
        <v>26.17123274981638</v>
      </c>
      <c r="G7" s="714">
        <f aca="true" t="shared" si="1" ref="G7:G12">E7*F7</f>
        <v>67.75550906288267</v>
      </c>
      <c r="H7" s="72">
        <f>G7/0.74</f>
        <v>91.56149873362523</v>
      </c>
      <c r="I7" s="39">
        <f aca="true" t="shared" si="2" ref="I7:I12">H7*$B$3</f>
        <v>1556545478.471629</v>
      </c>
      <c r="J7" s="715">
        <f>GrainY!I5</f>
        <v>2736</v>
      </c>
      <c r="K7" s="437">
        <f aca="true" t="shared" si="3" ref="K7:K12">I7/J7</f>
        <v>568912.8210788118</v>
      </c>
      <c r="L7" s="716">
        <f aca="true" t="shared" si="4" ref="L7:L12">K7/1000</f>
        <v>568.9128210788118</v>
      </c>
      <c r="M7" s="130">
        <f aca="true" t="shared" si="5" ref="M7:M13">E7/C7</f>
        <v>0.5865199709919531</v>
      </c>
      <c r="N7" s="26"/>
      <c r="O7" s="19" t="s">
        <v>1059</v>
      </c>
    </row>
    <row r="8" spans="1:15" s="4" customFormat="1" ht="12.75">
      <c r="A8" s="14" t="s">
        <v>581</v>
      </c>
      <c r="B8"/>
      <c r="C8" s="717">
        <v>0.7789506816688855</v>
      </c>
      <c r="D8" s="442">
        <f t="shared" si="0"/>
        <v>0.1035572297424286</v>
      </c>
      <c r="E8" s="100">
        <f>((D7+D8)*$E$13)/2</f>
        <v>2.588930743560715</v>
      </c>
      <c r="F8" s="718">
        <f>GrainCurrent!AF9</f>
        <v>26.17123274981638</v>
      </c>
      <c r="G8" s="436">
        <f t="shared" si="1"/>
        <v>67.75550906288267</v>
      </c>
      <c r="H8" s="72">
        <f>G8/0.98</f>
        <v>69.1382745539619</v>
      </c>
      <c r="I8" s="39">
        <f t="shared" si="2"/>
        <v>1175350667.4173524</v>
      </c>
      <c r="J8" s="719">
        <f>GrainY!I5</f>
        <v>2736</v>
      </c>
      <c r="K8" s="438">
        <f t="shared" si="3"/>
        <v>429587.23224318435</v>
      </c>
      <c r="L8" s="720">
        <f t="shared" si="4"/>
        <v>429.58723224318436</v>
      </c>
      <c r="M8" s="130">
        <f t="shared" si="5"/>
        <v>3.3236131689544006</v>
      </c>
      <c r="N8" s="26"/>
      <c r="O8" s="19" t="s">
        <v>1059</v>
      </c>
    </row>
    <row r="9" spans="1:15" s="4" customFormat="1" ht="12.75">
      <c r="A9" s="14" t="s">
        <v>582</v>
      </c>
      <c r="B9"/>
      <c r="C9" s="721">
        <v>1.6627992193759418</v>
      </c>
      <c r="D9" s="442">
        <f t="shared" si="0"/>
        <v>0.2210600553137991</v>
      </c>
      <c r="E9" s="100">
        <f>D9*$E$13</f>
        <v>1.6579504148534934</v>
      </c>
      <c r="F9" s="718">
        <f>GrainCurrent!AF11</f>
        <v>19.653605570169194</v>
      </c>
      <c r="G9" s="436">
        <f t="shared" si="1"/>
        <v>32.584703508428944</v>
      </c>
      <c r="H9" s="72">
        <f>G9/0.98</f>
        <v>33.24969745758056</v>
      </c>
      <c r="I9" s="39">
        <f t="shared" si="2"/>
        <v>565244856.7788695</v>
      </c>
      <c r="J9" s="722">
        <f>GrainY!I6</f>
        <v>8383.199999999999</v>
      </c>
      <c r="K9" s="438">
        <f t="shared" si="3"/>
        <v>67425.9061908185</v>
      </c>
      <c r="L9" s="720">
        <f t="shared" si="4"/>
        <v>67.4259061908185</v>
      </c>
      <c r="M9" s="130">
        <f t="shared" si="5"/>
        <v>0.9970839506863203</v>
      </c>
      <c r="N9" s="26"/>
      <c r="O9" s="19" t="s">
        <v>1059</v>
      </c>
    </row>
    <row r="10" spans="1:15" s="4" customFormat="1" ht="12.75">
      <c r="A10" t="s">
        <v>1142</v>
      </c>
      <c r="B10"/>
      <c r="C10" s="717">
        <v>0.46460141051588844</v>
      </c>
      <c r="D10" s="442">
        <f t="shared" si="0"/>
        <v>0.06176621465221585</v>
      </c>
      <c r="E10" s="100">
        <f>((D10+D11)*$E$13)/2</f>
        <v>0.27249800581859934</v>
      </c>
      <c r="F10" s="718">
        <f>GrainCurrent!AF12</f>
        <v>38.69148575305292</v>
      </c>
      <c r="G10" s="436">
        <f t="shared" si="1"/>
        <v>10.543352709865669</v>
      </c>
      <c r="H10" s="72">
        <f>(G10/0.9)/(1-0.12)</f>
        <v>13.312314027608169</v>
      </c>
      <c r="I10" s="39">
        <f t="shared" si="2"/>
        <v>226309338.46933886</v>
      </c>
      <c r="J10" s="719">
        <f>GrainY!I7</f>
        <v>7197.2</v>
      </c>
      <c r="K10" s="438">
        <f t="shared" si="3"/>
        <v>31444.080818837723</v>
      </c>
      <c r="L10" s="720">
        <f t="shared" si="4"/>
        <v>31.444080818837723</v>
      </c>
      <c r="M10" s="130">
        <f t="shared" si="5"/>
        <v>0.586519970991953</v>
      </c>
      <c r="N10" s="26"/>
      <c r="O10" s="19" t="s">
        <v>1059</v>
      </c>
    </row>
    <row r="11" spans="1:15" s="4" customFormat="1" ht="12.75">
      <c r="A11" t="s">
        <v>70</v>
      </c>
      <c r="B11"/>
      <c r="C11" s="717">
        <v>0.0819884842086862</v>
      </c>
      <c r="D11" s="442">
        <f t="shared" si="0"/>
        <v>0.010899920232743974</v>
      </c>
      <c r="E11" s="723">
        <f>((D10+D11)*$E$13)/2</f>
        <v>0.27249800581859934</v>
      </c>
      <c r="F11" s="718">
        <f>GrainCurrent!AF12</f>
        <v>38.69148575305292</v>
      </c>
      <c r="G11" s="436">
        <f t="shared" si="1"/>
        <v>10.543352709865669</v>
      </c>
      <c r="H11" s="72">
        <f>G11/0.9</f>
        <v>11.714836344295188</v>
      </c>
      <c r="I11" s="39">
        <f t="shared" si="2"/>
        <v>199152217.8530182</v>
      </c>
      <c r="J11" s="719">
        <f>GrainY!I7</f>
        <v>7197.2</v>
      </c>
      <c r="K11" s="438">
        <f t="shared" si="3"/>
        <v>27670.791120577196</v>
      </c>
      <c r="L11" s="720">
        <f t="shared" si="4"/>
        <v>27.670791120577196</v>
      </c>
      <c r="M11" s="130">
        <f t="shared" si="5"/>
        <v>3.3236131689544006</v>
      </c>
      <c r="N11" s="26"/>
      <c r="O11" s="19" t="s">
        <v>1059</v>
      </c>
    </row>
    <row r="12" spans="1:15" s="4" customFormat="1" ht="12.75">
      <c r="A12" s="52" t="s">
        <v>577</v>
      </c>
      <c r="B12" s="3"/>
      <c r="C12" s="724">
        <v>0.11954067288500034</v>
      </c>
      <c r="D12" s="443">
        <f t="shared" si="0"/>
        <v>0.015892278185050294</v>
      </c>
      <c r="E12" s="100">
        <f>D12*$E$13</f>
        <v>0.1191920863878772</v>
      </c>
      <c r="F12" s="725">
        <f>GrainCurrent!AF14</f>
        <v>39.27772038567494</v>
      </c>
      <c r="G12" s="444">
        <f t="shared" si="1"/>
        <v>4.681593441328253</v>
      </c>
      <c r="H12" s="73">
        <f>G12/0.98</f>
        <v>4.777136164620667</v>
      </c>
      <c r="I12" s="39">
        <f t="shared" si="2"/>
        <v>81211314.79855134</v>
      </c>
      <c r="J12" s="726">
        <f>GrainY!I8</f>
        <v>2010.8799999999999</v>
      </c>
      <c r="K12" s="445">
        <f t="shared" si="3"/>
        <v>40385.95778890403</v>
      </c>
      <c r="L12" s="727">
        <f t="shared" si="4"/>
        <v>40.38595778890403</v>
      </c>
      <c r="M12" s="130">
        <f t="shared" si="5"/>
        <v>0.9970839506863202</v>
      </c>
      <c r="N12" s="26"/>
      <c r="O12" s="19" t="s">
        <v>1059</v>
      </c>
    </row>
    <row r="13" spans="1:14" s="4" customFormat="1" ht="12.75">
      <c r="A13" t="s">
        <v>63</v>
      </c>
      <c r="B13"/>
      <c r="C13" s="42">
        <f>SUM(C7:C12)</f>
        <v>7.521934331444754</v>
      </c>
      <c r="D13" s="13"/>
      <c r="E13" s="728">
        <v>7.5</v>
      </c>
      <c r="F13" s="728"/>
      <c r="G13" s="74">
        <f>SUM(G7:G12)</f>
        <v>193.86402049525387</v>
      </c>
      <c r="H13" s="39">
        <f>SUM(H7:H12)</f>
        <v>223.75375728169172</v>
      </c>
      <c r="I13" s="74">
        <f>SUM(I7:I12)</f>
        <v>3803813873.7887597</v>
      </c>
      <c r="J13" s="74"/>
      <c r="K13" s="74">
        <f>SUM(K7:K12)</f>
        <v>1165426.7892411335</v>
      </c>
      <c r="L13" s="229">
        <f>SUM(L7:L12)</f>
        <v>1165.4267892411335</v>
      </c>
      <c r="M13" s="729">
        <f t="shared" si="5"/>
        <v>0.9970839506863202</v>
      </c>
      <c r="N13" s="26"/>
    </row>
    <row r="14" spans="1:13" s="4" customFormat="1" ht="12.75">
      <c r="A14"/>
      <c r="B14"/>
      <c r="C14"/>
      <c r="D14" s="307"/>
      <c r="E14" s="125"/>
      <c r="F14" s="125"/>
      <c r="G14" s="27"/>
      <c r="H14" s="27"/>
      <c r="I14" s="27"/>
      <c r="J14" s="27"/>
      <c r="K14" s="27"/>
      <c r="L14" s="6"/>
      <c r="M14" s="6"/>
    </row>
    <row r="15" spans="1:13" s="708" customFormat="1" ht="35.25" customHeight="1">
      <c r="A15" s="704"/>
      <c r="B15" s="704"/>
      <c r="C15" s="1246" t="s">
        <v>994</v>
      </c>
      <c r="D15" s="1246"/>
      <c r="E15" s="705" t="s">
        <v>843</v>
      </c>
      <c r="F15" s="705" t="s">
        <v>45</v>
      </c>
      <c r="G15" s="705" t="s">
        <v>844</v>
      </c>
      <c r="H15" s="993" t="s">
        <v>845</v>
      </c>
      <c r="I15" s="705" t="s">
        <v>383</v>
      </c>
      <c r="J15" s="705" t="s">
        <v>119</v>
      </c>
      <c r="K15" s="1243" t="s">
        <v>583</v>
      </c>
      <c r="L15" s="1247"/>
      <c r="M15" s="655" t="s">
        <v>839</v>
      </c>
    </row>
    <row r="16" spans="1:15" s="708" customFormat="1" ht="36">
      <c r="A16" s="704"/>
      <c r="B16" s="704"/>
      <c r="C16" s="1238" t="s">
        <v>44</v>
      </c>
      <c r="D16" s="1238"/>
      <c r="E16" s="705" t="s">
        <v>44</v>
      </c>
      <c r="F16" s="705" t="s">
        <v>831</v>
      </c>
      <c r="G16" s="705" t="s">
        <v>35</v>
      </c>
      <c r="H16" s="705" t="s">
        <v>35</v>
      </c>
      <c r="I16" s="660" t="s">
        <v>35</v>
      </c>
      <c r="J16" s="660" t="s">
        <v>99</v>
      </c>
      <c r="K16" s="660" t="s">
        <v>279</v>
      </c>
      <c r="L16" s="660" t="s">
        <v>191</v>
      </c>
      <c r="M16" s="658" t="s">
        <v>842</v>
      </c>
      <c r="O16" s="1014" t="s">
        <v>1044</v>
      </c>
    </row>
    <row r="17" spans="1:15" s="4" customFormat="1" ht="12.75">
      <c r="A17" s="4" t="s">
        <v>4</v>
      </c>
      <c r="C17" s="1239">
        <f>Alcohol!B13</f>
        <v>21.704338116384786</v>
      </c>
      <c r="D17" s="1240"/>
      <c r="E17" s="730">
        <f>7*365/128</f>
        <v>19.9609375</v>
      </c>
      <c r="F17" s="714">
        <v>2</v>
      </c>
      <c r="G17" s="731">
        <f>E17*F17</f>
        <v>39.921875</v>
      </c>
      <c r="H17" s="28">
        <f>G17*(1+(1-0.85))</f>
        <v>45.91015625</v>
      </c>
      <c r="I17" s="29">
        <f>H17*B3</f>
        <v>780472656.25</v>
      </c>
      <c r="J17" s="437">
        <f>GrainY!I9</f>
        <v>3410.88</v>
      </c>
      <c r="K17" s="437">
        <f>I17/J17</f>
        <v>228818.56185207336</v>
      </c>
      <c r="L17" s="28">
        <f>K17/1000</f>
        <v>228.81856185207334</v>
      </c>
      <c r="M17" s="729">
        <f>E17/C17</f>
        <v>0.9196750157947144</v>
      </c>
      <c r="O17" s="19" t="s">
        <v>1059</v>
      </c>
    </row>
    <row r="18" spans="1:13" s="4" customFormat="1" ht="13.5" thickBot="1">
      <c r="A18"/>
      <c r="B18"/>
      <c r="C18"/>
      <c r="D18"/>
      <c r="E18" s="27"/>
      <c r="F18" s="27"/>
      <c r="G18" s="293"/>
      <c r="H18" s="27"/>
      <c r="I18" s="27"/>
      <c r="J18" s="27"/>
      <c r="K18" s="27"/>
      <c r="L18" s="732"/>
      <c r="M18" s="732"/>
    </row>
    <row r="19" spans="1:13" ht="13.5" thickBot="1">
      <c r="A19" s="446" t="s">
        <v>71</v>
      </c>
      <c r="B19" s="328"/>
      <c r="C19" s="328"/>
      <c r="D19" s="328"/>
      <c r="E19" s="447"/>
      <c r="F19" s="447"/>
      <c r="G19" s="447"/>
      <c r="H19" s="447"/>
      <c r="I19" s="448">
        <f>I13+I17</f>
        <v>4584286530.038759</v>
      </c>
      <c r="J19" s="448"/>
      <c r="K19" s="448">
        <f>K13+K17</f>
        <v>1394245.3510932068</v>
      </c>
      <c r="L19" s="732">
        <f>K19/1000</f>
        <v>1394.2453510932069</v>
      </c>
      <c r="M19" s="732"/>
    </row>
    <row r="20" ht="12.75">
      <c r="L20" s="295"/>
    </row>
    <row r="21" ht="12.75"/>
    <row r="22" ht="12.75">
      <c r="A22" s="14" t="s">
        <v>846</v>
      </c>
    </row>
    <row r="23" ht="12.75">
      <c r="A23" t="s">
        <v>111</v>
      </c>
    </row>
    <row r="24" ht="12.75">
      <c r="A24" s="14" t="s">
        <v>1046</v>
      </c>
    </row>
    <row r="25" ht="12.75">
      <c r="A25" s="14" t="s">
        <v>1047</v>
      </c>
    </row>
    <row r="26" ht="12.75">
      <c r="A26" s="14" t="s">
        <v>1144</v>
      </c>
    </row>
    <row r="30" spans="5:7" ht="12.75">
      <c r="E30" s="40"/>
      <c r="G30" s="40"/>
    </row>
    <row r="31" ht="12.75">
      <c r="E31" s="40"/>
    </row>
  </sheetData>
  <sheetProtection/>
  <mergeCells count="7">
    <mergeCell ref="C16:D16"/>
    <mergeCell ref="C17:D17"/>
    <mergeCell ref="C5:D5"/>
    <mergeCell ref="G5:H5"/>
    <mergeCell ref="K5:L5"/>
    <mergeCell ref="C15:D15"/>
    <mergeCell ref="K15:L15"/>
  </mergeCells>
  <printOptions/>
  <pageMargins left="0.7" right="0.7" top="0.75" bottom="0.75" header="0.3" footer="0.3"/>
  <pageSetup orientation="portrait"/>
  <legacyDrawing r:id="rId2"/>
</worksheet>
</file>

<file path=xl/worksheets/sheet11.xml><?xml version="1.0" encoding="utf-8"?>
<worksheet xmlns="http://schemas.openxmlformats.org/spreadsheetml/2006/main" xmlns:r="http://schemas.openxmlformats.org/officeDocument/2006/relationships">
  <dimension ref="A1:AF17"/>
  <sheetViews>
    <sheetView zoomScalePageLayoutView="0" workbookViewId="0" topLeftCell="A1">
      <selection activeCell="A2" sqref="A2"/>
    </sheetView>
  </sheetViews>
  <sheetFormatPr defaultColWidth="8.8515625" defaultRowHeight="12.75"/>
  <cols>
    <col min="1" max="1" width="11.8515625" style="0" customWidth="1"/>
    <col min="2" max="2" width="8.8515625" style="0" customWidth="1"/>
    <col min="3" max="3" width="2.7109375" style="0" hidden="1" customWidth="1"/>
    <col min="4" max="4" width="9.140625" style="0" hidden="1" customWidth="1"/>
    <col min="5" max="5" width="2.7109375" style="0" hidden="1" customWidth="1"/>
    <col min="6" max="6" width="9.140625" style="0" hidden="1" customWidth="1"/>
    <col min="7" max="7" width="2.7109375" style="0" hidden="1" customWidth="1"/>
    <col min="8" max="8" width="9.140625" style="0" hidden="1" customWidth="1"/>
    <col min="9" max="9" width="2.7109375" style="0" hidden="1" customWidth="1"/>
    <col min="10" max="10" width="9.140625" style="0" hidden="1" customWidth="1"/>
    <col min="11" max="11" width="2.7109375" style="0" hidden="1" customWidth="1"/>
    <col min="12" max="15" width="9.140625" style="0" hidden="1" customWidth="1"/>
    <col min="16" max="16" width="8.8515625" style="0" customWidth="1"/>
    <col min="17" max="17" width="9.140625" style="0" hidden="1" customWidth="1"/>
    <col min="18" max="18" width="8.8515625" style="0" customWidth="1"/>
    <col min="19" max="19" width="9.140625" style="0" hidden="1" customWidth="1"/>
    <col min="20" max="20" width="8.8515625" style="0" customWidth="1"/>
    <col min="21" max="21" width="9.140625" style="0" hidden="1" customWidth="1"/>
    <col min="22" max="22" width="8.8515625" style="0" customWidth="1"/>
    <col min="23" max="23" width="9.140625" style="0" hidden="1" customWidth="1"/>
    <col min="24" max="24" width="9.140625" style="0" customWidth="1"/>
    <col min="25" max="25" width="9.140625" style="0" hidden="1" customWidth="1"/>
    <col min="26" max="26" width="9.140625" style="0" customWidth="1"/>
    <col min="27" max="27" width="9.140625" style="0" hidden="1" customWidth="1"/>
    <col min="28" max="28" width="8.8515625" style="0" customWidth="1"/>
    <col min="29" max="29" width="9.140625" style="0" hidden="1" customWidth="1"/>
    <col min="30" max="30" width="9.140625" style="0" customWidth="1"/>
    <col min="31" max="31" width="9.140625" style="0" hidden="1" customWidth="1"/>
    <col min="32" max="32" width="13.8515625" style="0" customWidth="1"/>
  </cols>
  <sheetData>
    <row r="1" ht="15.75">
      <c r="A1" s="113" t="s">
        <v>569</v>
      </c>
    </row>
    <row r="2" ht="12.75">
      <c r="A2" s="14" t="s">
        <v>200</v>
      </c>
    </row>
    <row r="3" ht="12.75">
      <c r="A3" s="4"/>
    </row>
    <row r="4" spans="1:32" s="63" customFormat="1" ht="12" customHeight="1">
      <c r="A4" s="1198"/>
      <c r="B4" s="1195" t="s">
        <v>124</v>
      </c>
      <c r="C4" s="1196"/>
      <c r="D4" s="1201" t="s">
        <v>125</v>
      </c>
      <c r="E4" s="1196"/>
      <c r="F4" s="1195" t="s">
        <v>126</v>
      </c>
      <c r="G4" s="1196"/>
      <c r="H4" s="1195" t="s">
        <v>127</v>
      </c>
      <c r="I4" s="1196"/>
      <c r="J4" s="1195" t="s">
        <v>128</v>
      </c>
      <c r="K4" s="1196"/>
      <c r="L4" s="1202" t="s">
        <v>129</v>
      </c>
      <c r="M4" s="1203"/>
      <c r="N4" s="1203"/>
      <c r="O4" s="1204"/>
      <c r="P4" s="1195" t="s">
        <v>130</v>
      </c>
      <c r="Q4" s="1196"/>
      <c r="R4" s="1201" t="s">
        <v>131</v>
      </c>
      <c r="S4" s="1205"/>
      <c r="T4" s="1205"/>
      <c r="U4" s="1205"/>
      <c r="V4" s="1205"/>
      <c r="W4" s="1206"/>
      <c r="X4" s="1195" t="s">
        <v>570</v>
      </c>
      <c r="Y4" s="1206"/>
      <c r="Z4" s="1195" t="s">
        <v>571</v>
      </c>
      <c r="AA4" s="1189"/>
      <c r="AB4" s="1201" t="s">
        <v>132</v>
      </c>
      <c r="AC4" s="1206"/>
      <c r="AD4" s="1201" t="s">
        <v>564</v>
      </c>
      <c r="AE4" s="1205"/>
      <c r="AF4" s="1248" t="s">
        <v>45</v>
      </c>
    </row>
    <row r="5" spans="1:32" s="63" customFormat="1" ht="12" customHeight="1">
      <c r="A5" s="1198"/>
      <c r="B5" s="1197"/>
      <c r="C5" s="1198"/>
      <c r="D5" s="1197"/>
      <c r="E5" s="1198"/>
      <c r="F5" s="1197"/>
      <c r="G5" s="1198"/>
      <c r="H5" s="1197"/>
      <c r="I5" s="1198"/>
      <c r="J5" s="1197"/>
      <c r="K5" s="1198"/>
      <c r="L5" s="1195" t="s">
        <v>133</v>
      </c>
      <c r="M5" s="1196"/>
      <c r="N5" s="1195" t="s">
        <v>134</v>
      </c>
      <c r="O5" s="1196"/>
      <c r="P5" s="1197"/>
      <c r="Q5" s="1198"/>
      <c r="R5" s="1207"/>
      <c r="S5" s="1208"/>
      <c r="T5" s="1208"/>
      <c r="U5" s="1208"/>
      <c r="V5" s="1208"/>
      <c r="W5" s="1209"/>
      <c r="X5" s="1207"/>
      <c r="Y5" s="1209"/>
      <c r="Z5" s="1207"/>
      <c r="AA5" s="1208"/>
      <c r="AB5" s="1207"/>
      <c r="AC5" s="1209"/>
      <c r="AD5" s="1207"/>
      <c r="AE5" s="1208"/>
      <c r="AF5" s="1248"/>
    </row>
    <row r="6" spans="1:32" s="63" customFormat="1" ht="12" customHeight="1">
      <c r="A6" s="1198"/>
      <c r="B6" s="1197"/>
      <c r="C6" s="1198"/>
      <c r="D6" s="1197"/>
      <c r="E6" s="1198"/>
      <c r="F6" s="1197"/>
      <c r="G6" s="1198"/>
      <c r="H6" s="1197"/>
      <c r="I6" s="1198"/>
      <c r="J6" s="1197"/>
      <c r="K6" s="1198"/>
      <c r="L6" s="1197"/>
      <c r="M6" s="1198"/>
      <c r="N6" s="1197"/>
      <c r="O6" s="1198"/>
      <c r="P6" s="1197"/>
      <c r="Q6" s="1198"/>
      <c r="R6" s="1207"/>
      <c r="S6" s="1208"/>
      <c r="T6" s="1208"/>
      <c r="U6" s="1208"/>
      <c r="V6" s="1208"/>
      <c r="W6" s="1209"/>
      <c r="X6" s="1207"/>
      <c r="Y6" s="1209"/>
      <c r="Z6" s="1207"/>
      <c r="AA6" s="1208"/>
      <c r="AB6" s="1207"/>
      <c r="AC6" s="1209"/>
      <c r="AD6" s="1207"/>
      <c r="AE6" s="1208"/>
      <c r="AF6" s="1248"/>
    </row>
    <row r="7" spans="1:32" s="63" customFormat="1" ht="21" customHeight="1">
      <c r="A7" s="1198"/>
      <c r="B7" s="1199"/>
      <c r="C7" s="1200"/>
      <c r="D7" s="1199"/>
      <c r="E7" s="1200"/>
      <c r="F7" s="1199"/>
      <c r="G7" s="1200"/>
      <c r="H7" s="1199"/>
      <c r="I7" s="1200"/>
      <c r="J7" s="1199"/>
      <c r="K7" s="1200"/>
      <c r="L7" s="1199"/>
      <c r="M7" s="1200"/>
      <c r="N7" s="1199"/>
      <c r="O7" s="1200"/>
      <c r="P7" s="1199"/>
      <c r="Q7" s="1200"/>
      <c r="R7" s="1210"/>
      <c r="S7" s="1211"/>
      <c r="T7" s="1211"/>
      <c r="U7" s="1211"/>
      <c r="V7" s="1211"/>
      <c r="W7" s="1212"/>
      <c r="X7" s="1210"/>
      <c r="Y7" s="1212"/>
      <c r="Z7" s="1210"/>
      <c r="AA7" s="1211"/>
      <c r="AB7" s="1210"/>
      <c r="AC7" s="1212"/>
      <c r="AD7" s="1210"/>
      <c r="AE7" s="1211"/>
      <c r="AF7" s="1248"/>
    </row>
    <row r="8" spans="1:32" s="63" customFormat="1" ht="12" customHeight="1">
      <c r="A8" s="300"/>
      <c r="B8" s="1182" t="s">
        <v>477</v>
      </c>
      <c r="C8" s="1182"/>
      <c r="D8" s="1182" t="s">
        <v>478</v>
      </c>
      <c r="E8" s="1182"/>
      <c r="F8" s="1182" t="s">
        <v>477</v>
      </c>
      <c r="G8" s="1182"/>
      <c r="H8" s="1182" t="s">
        <v>478</v>
      </c>
      <c r="I8" s="1182"/>
      <c r="J8" s="1182" t="s">
        <v>477</v>
      </c>
      <c r="K8" s="1182"/>
      <c r="L8" s="1182" t="s">
        <v>478</v>
      </c>
      <c r="M8" s="1182"/>
      <c r="N8" s="1182" t="s">
        <v>478</v>
      </c>
      <c r="O8" s="1182"/>
      <c r="P8" s="1182" t="s">
        <v>478</v>
      </c>
      <c r="Q8" s="1182"/>
      <c r="R8" s="1182" t="s">
        <v>477</v>
      </c>
      <c r="S8" s="1182"/>
      <c r="T8" s="1182" t="s">
        <v>66</v>
      </c>
      <c r="U8" s="1182"/>
      <c r="V8" s="1182" t="s">
        <v>479</v>
      </c>
      <c r="W8" s="1182"/>
      <c r="X8" s="1182" t="s">
        <v>480</v>
      </c>
      <c r="Y8" s="1182"/>
      <c r="Z8" s="1182" t="s">
        <v>135</v>
      </c>
      <c r="AA8" s="1182"/>
      <c r="AB8" s="1182" t="s">
        <v>480</v>
      </c>
      <c r="AC8" s="1182"/>
      <c r="AD8" s="1182" t="s">
        <v>572</v>
      </c>
      <c r="AE8" s="1182"/>
      <c r="AF8" s="733" t="s">
        <v>828</v>
      </c>
    </row>
    <row r="9" spans="1:32" ht="12.75">
      <c r="A9" s="14" t="s">
        <v>573</v>
      </c>
      <c r="B9" s="272">
        <v>135.90733060389687</v>
      </c>
      <c r="C9" s="272"/>
      <c r="D9" s="272"/>
      <c r="E9" s="272"/>
      <c r="F9" s="272">
        <v>135.90733060389687</v>
      </c>
      <c r="G9" s="272"/>
      <c r="H9" s="272"/>
      <c r="I9" s="272"/>
      <c r="J9" s="272">
        <v>119.59845093142926</v>
      </c>
      <c r="K9" s="272"/>
      <c r="L9" s="272"/>
      <c r="M9" s="272"/>
      <c r="N9" s="272"/>
      <c r="O9" s="272"/>
      <c r="P9" s="272">
        <v>29.6</v>
      </c>
      <c r="Q9" s="272"/>
      <c r="R9" s="272">
        <v>95.6787607451434</v>
      </c>
      <c r="S9" s="272"/>
      <c r="T9" s="272">
        <v>4.194137457321355</v>
      </c>
      <c r="U9" s="272"/>
      <c r="V9" s="272">
        <v>118.90169984633174</v>
      </c>
      <c r="W9" s="272"/>
      <c r="X9" s="272">
        <f>AB9/AD9</f>
        <v>83.6225237211768</v>
      </c>
      <c r="Y9" s="272"/>
      <c r="AA9" s="272"/>
      <c r="AB9" s="272">
        <v>434.2521457032215</v>
      </c>
      <c r="AC9" s="272"/>
      <c r="AD9" s="272">
        <v>5.193004544459237</v>
      </c>
      <c r="AF9" s="208">
        <f>B9/AD9</f>
        <v>26.17123274981638</v>
      </c>
    </row>
    <row r="10" spans="1:32" ht="12.75">
      <c r="A10" s="62" t="s">
        <v>68</v>
      </c>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F10" s="208"/>
    </row>
    <row r="11" spans="1:32" ht="12.75">
      <c r="A11" s="14" t="s">
        <v>574</v>
      </c>
      <c r="B11" s="272">
        <v>32.68</v>
      </c>
      <c r="C11" s="272"/>
      <c r="D11" s="272">
        <v>32.68</v>
      </c>
      <c r="E11" s="272"/>
      <c r="F11" s="272">
        <v>28.758400000000005</v>
      </c>
      <c r="G11" s="272"/>
      <c r="H11" s="272">
        <v>29.599999999999994</v>
      </c>
      <c r="I11" s="272"/>
      <c r="O11" s="272"/>
      <c r="P11" s="272">
        <v>29.599999999999994</v>
      </c>
      <c r="Q11" s="272"/>
      <c r="R11" s="272">
        <v>23.00672</v>
      </c>
      <c r="S11" s="272"/>
      <c r="T11" s="272">
        <v>1.0085137534246578</v>
      </c>
      <c r="U11" s="272"/>
      <c r="V11" s="272">
        <v>28.59086065271233</v>
      </c>
      <c r="W11" s="272"/>
      <c r="X11" s="272">
        <f>AB11/AD11</f>
        <v>63.77880868202052</v>
      </c>
      <c r="Y11" s="272"/>
      <c r="Z11" s="272"/>
      <c r="AA11" s="272"/>
      <c r="AB11" s="272">
        <v>106.05135328919125</v>
      </c>
      <c r="AC11" s="272"/>
      <c r="AD11" s="272">
        <v>1.6627992193759418</v>
      </c>
      <c r="AF11" s="208">
        <f>B11/AD11</f>
        <v>19.653605570169194</v>
      </c>
    </row>
    <row r="12" spans="1:32" ht="12.75">
      <c r="A12" s="14" t="s">
        <v>575</v>
      </c>
      <c r="B12" s="272">
        <v>21.14837512449858</v>
      </c>
      <c r="C12" s="272"/>
      <c r="D12" s="272">
        <v>0</v>
      </c>
      <c r="E12" s="272"/>
      <c r="F12" s="272">
        <v>21.14837512449858</v>
      </c>
      <c r="G12" s="272"/>
      <c r="H12" s="272">
        <v>12</v>
      </c>
      <c r="I12" s="272"/>
      <c r="J12" s="272">
        <v>18.610570109558743</v>
      </c>
      <c r="K12" s="272"/>
      <c r="L12" s="272">
        <v>0</v>
      </c>
      <c r="M12" s="272"/>
      <c r="N12" s="272">
        <v>33</v>
      </c>
      <c r="O12" s="272"/>
      <c r="P12" s="272">
        <v>41.04</v>
      </c>
      <c r="Q12" s="272"/>
      <c r="R12" s="272">
        <v>12.46908197340436</v>
      </c>
      <c r="S12" s="272"/>
      <c r="T12" s="272">
        <v>0.5465898947245746</v>
      </c>
      <c r="U12" s="272"/>
      <c r="V12" s="272">
        <v>15.495550220494328</v>
      </c>
      <c r="W12" s="272"/>
      <c r="X12" s="272">
        <v>103</v>
      </c>
      <c r="Y12" s="272"/>
      <c r="Z12" s="272">
        <v>28.3495</v>
      </c>
      <c r="AA12" s="272"/>
      <c r="AB12" s="272">
        <v>56.29875915663119</v>
      </c>
      <c r="AC12" s="272"/>
      <c r="AD12" s="272">
        <v>0.5465898947245746</v>
      </c>
      <c r="AF12" s="208">
        <f>B12/AD12</f>
        <v>38.69148575305292</v>
      </c>
    </row>
    <row r="13" spans="1:32" ht="12.75">
      <c r="A13" s="62" t="s">
        <v>576</v>
      </c>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F13" s="208"/>
    </row>
    <row r="14" spans="1:32" ht="12.75">
      <c r="A14" s="14" t="s">
        <v>577</v>
      </c>
      <c r="B14" s="272">
        <v>4.695285124292477</v>
      </c>
      <c r="C14" s="272"/>
      <c r="D14" s="272">
        <v>0</v>
      </c>
      <c r="E14" s="272"/>
      <c r="F14" s="272">
        <v>4.695285124292477</v>
      </c>
      <c r="G14" s="272"/>
      <c r="H14" s="272">
        <v>12</v>
      </c>
      <c r="I14" s="272"/>
      <c r="J14" s="272">
        <v>4.131850909377379</v>
      </c>
      <c r="K14" s="272"/>
      <c r="L14" s="272">
        <v>20</v>
      </c>
      <c r="M14" s="272"/>
      <c r="N14" s="272">
        <v>14</v>
      </c>
      <c r="O14" s="272"/>
      <c r="P14" s="272">
        <v>41.919999999999995</v>
      </c>
      <c r="Q14" s="272"/>
      <c r="R14" s="272">
        <v>2.72702160018907</v>
      </c>
      <c r="S14" s="272"/>
      <c r="T14" s="272">
        <v>0.11954067288500034</v>
      </c>
      <c r="U14" s="272"/>
      <c r="V14" s="272">
        <v>3.388918305953317</v>
      </c>
      <c r="W14" s="272"/>
      <c r="X14" s="272">
        <v>105</v>
      </c>
      <c r="Y14" s="272"/>
      <c r="Z14" s="272">
        <v>28.3495</v>
      </c>
      <c r="AA14" s="272"/>
      <c r="AB14" s="272">
        <v>12.551770652925034</v>
      </c>
      <c r="AC14" s="272"/>
      <c r="AD14" s="272">
        <v>0.11954067288500034</v>
      </c>
      <c r="AF14" s="208">
        <f>B14/AD14</f>
        <v>39.27772038567494</v>
      </c>
    </row>
    <row r="15" spans="1:32" ht="12.75">
      <c r="A15" s="14" t="s">
        <v>578</v>
      </c>
      <c r="B15" s="244">
        <v>0.6728610785739075</v>
      </c>
      <c r="C15" s="244"/>
      <c r="D15" s="244">
        <v>0</v>
      </c>
      <c r="E15" s="244"/>
      <c r="F15" s="244">
        <v>0.6728610785739075</v>
      </c>
      <c r="G15" s="244"/>
      <c r="H15" s="244">
        <v>12</v>
      </c>
      <c r="I15" s="244"/>
      <c r="J15" s="244">
        <v>0.5921177491450387</v>
      </c>
      <c r="K15" s="244"/>
      <c r="L15" s="244">
        <v>20</v>
      </c>
      <c r="M15" s="375"/>
      <c r="N15" s="244">
        <v>14</v>
      </c>
      <c r="O15" s="244"/>
      <c r="P15" s="244">
        <v>41.92</v>
      </c>
      <c r="Q15" s="244"/>
      <c r="R15" s="244">
        <v>0.39079771443572553</v>
      </c>
      <c r="S15" s="244"/>
      <c r="T15" s="244">
        <v>0.017130858714990708</v>
      </c>
      <c r="U15" s="272"/>
      <c r="V15" s="244">
        <v>0.4856512791406291</v>
      </c>
      <c r="W15" s="272"/>
      <c r="X15" s="244">
        <v>100</v>
      </c>
      <c r="Y15" s="272"/>
      <c r="Z15" s="244">
        <v>28.3495</v>
      </c>
      <c r="AA15" s="272"/>
      <c r="AB15" s="244">
        <v>1.7130858714990709</v>
      </c>
      <c r="AC15" s="272"/>
      <c r="AD15" s="244">
        <v>0.017130858714990708</v>
      </c>
      <c r="AF15" s="208">
        <f>B15/AD15</f>
        <v>39.277720385674925</v>
      </c>
    </row>
    <row r="16" spans="1:32" ht="12.75">
      <c r="A16" s="14" t="s">
        <v>579</v>
      </c>
      <c r="B16" s="272">
        <v>0.4831885225981405</v>
      </c>
      <c r="C16" s="272"/>
      <c r="D16" s="272">
        <v>0</v>
      </c>
      <c r="E16" s="272"/>
      <c r="F16" s="272">
        <v>0.4831885225981405</v>
      </c>
      <c r="G16" s="272"/>
      <c r="H16" s="272">
        <v>12</v>
      </c>
      <c r="I16" s="272"/>
      <c r="J16" s="272">
        <v>0.4252058998863636</v>
      </c>
      <c r="K16" s="272"/>
      <c r="L16" s="272">
        <v>0</v>
      </c>
      <c r="M16" s="272"/>
      <c r="N16" s="272">
        <v>20</v>
      </c>
      <c r="O16" s="272"/>
      <c r="P16" s="272">
        <v>29.6</v>
      </c>
      <c r="Q16" s="272"/>
      <c r="R16" s="272">
        <v>0.3401647199090909</v>
      </c>
      <c r="S16" s="272"/>
      <c r="T16" s="272">
        <v>0.014911330187795769</v>
      </c>
      <c r="U16" s="272"/>
      <c r="V16" s="272">
        <v>0.42272875515891606</v>
      </c>
      <c r="W16" s="272"/>
      <c r="X16" s="272">
        <v>80</v>
      </c>
      <c r="Y16" s="272"/>
      <c r="Z16" s="272">
        <v>22.4826388888</v>
      </c>
      <c r="AA16" s="272"/>
      <c r="AB16" s="272">
        <v>1.504196219135125</v>
      </c>
      <c r="AC16" s="272"/>
      <c r="AD16" s="272">
        <v>0.01880245273918906</v>
      </c>
      <c r="AF16" s="208">
        <f>B16/AD16</f>
        <v>25.698164452292627</v>
      </c>
    </row>
    <row r="17" spans="1:32" ht="12.75">
      <c r="A17" s="12"/>
      <c r="B17" s="259">
        <f>SUM(B9:B16)</f>
        <v>195.58704045385997</v>
      </c>
      <c r="C17" s="12"/>
      <c r="D17" s="12"/>
      <c r="E17" s="12"/>
      <c r="F17" s="12"/>
      <c r="G17" s="12"/>
      <c r="H17" s="12"/>
      <c r="I17" s="12"/>
      <c r="J17" s="12"/>
      <c r="K17" s="12"/>
      <c r="L17" s="12"/>
      <c r="M17" s="12"/>
      <c r="N17" s="12"/>
      <c r="O17" s="12"/>
      <c r="P17" s="310">
        <f>1-(R17/B17)</f>
        <v>0.31175119557659303</v>
      </c>
      <c r="Q17" s="12"/>
      <c r="R17" s="259">
        <f>SUM(R9:R16)</f>
        <v>134.61254675308166</v>
      </c>
      <c r="S17" s="12"/>
      <c r="T17" s="259">
        <f>SUM(T9:T16)</f>
        <v>5.900823967258373</v>
      </c>
      <c r="U17" s="12"/>
      <c r="V17" s="259">
        <f>SUM(V9:V16)</f>
        <v>167.28540905979125</v>
      </c>
      <c r="W17" s="12"/>
      <c r="X17" s="12"/>
      <c r="Y17" s="12"/>
      <c r="Z17" s="12"/>
      <c r="AA17" s="12"/>
      <c r="AB17" s="259">
        <f>SUM(AB9:AB16)</f>
        <v>612.3713108926031</v>
      </c>
      <c r="AC17" s="12"/>
      <c r="AD17" s="259">
        <f>SUM(AD9:AD16)</f>
        <v>7.557867642898933</v>
      </c>
      <c r="AF17" s="309">
        <f>B17/AD17</f>
        <v>25.878600909030954</v>
      </c>
    </row>
  </sheetData>
  <sheetProtection/>
  <mergeCells count="31">
    <mergeCell ref="Z8:AA8"/>
    <mergeCell ref="AB8:AC8"/>
    <mergeCell ref="AD8:AE8"/>
    <mergeCell ref="N8:O8"/>
    <mergeCell ref="P8:Q8"/>
    <mergeCell ref="R8:S8"/>
    <mergeCell ref="T8:U8"/>
    <mergeCell ref="V8:W8"/>
    <mergeCell ref="X8:Y8"/>
    <mergeCell ref="AD4:AE7"/>
    <mergeCell ref="AF4:AF7"/>
    <mergeCell ref="L5:M7"/>
    <mergeCell ref="N5:O7"/>
    <mergeCell ref="B8:C8"/>
    <mergeCell ref="D8:E8"/>
    <mergeCell ref="F8:G8"/>
    <mergeCell ref="H8:I8"/>
    <mergeCell ref="J8:K8"/>
    <mergeCell ref="L8:M8"/>
    <mergeCell ref="L4:O4"/>
    <mergeCell ref="P4:Q7"/>
    <mergeCell ref="R4:W7"/>
    <mergeCell ref="X4:Y7"/>
    <mergeCell ref="Z4:AA7"/>
    <mergeCell ref="AB4:AC7"/>
    <mergeCell ref="A4:A7"/>
    <mergeCell ref="B4:C7"/>
    <mergeCell ref="D4:E7"/>
    <mergeCell ref="F4:G7"/>
    <mergeCell ref="H4:I7"/>
    <mergeCell ref="J4:K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22"/>
  <sheetViews>
    <sheetView zoomScalePageLayoutView="0" workbookViewId="0" topLeftCell="A1">
      <selection activeCell="I5" sqref="I5"/>
    </sheetView>
  </sheetViews>
  <sheetFormatPr defaultColWidth="8.8515625" defaultRowHeight="12.75"/>
  <cols>
    <col min="1" max="1" width="12.421875" style="0" customWidth="1"/>
    <col min="2" max="6" width="8.8515625" style="0" customWidth="1"/>
    <col min="7" max="7" width="11.421875" style="0" customWidth="1"/>
    <col min="8" max="8" width="14.421875" style="0" customWidth="1"/>
    <col min="9" max="9" width="10.8515625" style="0" customWidth="1"/>
  </cols>
  <sheetData>
    <row r="1" ht="15.75">
      <c r="A1" s="113" t="s">
        <v>1063</v>
      </c>
    </row>
    <row r="3" spans="2:9" ht="12.75">
      <c r="B3" s="1249" t="s">
        <v>119</v>
      </c>
      <c r="C3" s="1250"/>
      <c r="D3" s="1250"/>
      <c r="E3" s="1250"/>
      <c r="F3" s="1250"/>
      <c r="G3" s="1250"/>
      <c r="H3" s="1250"/>
      <c r="I3" s="1250"/>
    </row>
    <row r="4" spans="2:9" ht="12.75">
      <c r="B4" s="159">
        <v>2009</v>
      </c>
      <c r="C4" s="66">
        <v>2010</v>
      </c>
      <c r="D4" s="159">
        <v>2011</v>
      </c>
      <c r="E4" s="66">
        <v>2012</v>
      </c>
      <c r="F4" s="159">
        <v>2013</v>
      </c>
      <c r="G4" s="159" t="s">
        <v>836</v>
      </c>
      <c r="H4" s="159" t="s">
        <v>1068</v>
      </c>
      <c r="I4" s="159" t="s">
        <v>99</v>
      </c>
    </row>
    <row r="5" spans="1:9" ht="12.75">
      <c r="A5" s="112" t="s">
        <v>1071</v>
      </c>
      <c r="B5" s="741">
        <v>44.5</v>
      </c>
      <c r="C5" s="741">
        <v>46.3</v>
      </c>
      <c r="D5" s="741">
        <v>43.7</v>
      </c>
      <c r="E5" s="741">
        <v>46.3</v>
      </c>
      <c r="F5" s="741">
        <v>47.2</v>
      </c>
      <c r="G5" s="742">
        <f>AVERAGE(B5:F5)</f>
        <v>45.6</v>
      </c>
      <c r="H5" s="257">
        <v>60</v>
      </c>
      <c r="I5" s="257">
        <f>H5*G5</f>
        <v>2736</v>
      </c>
    </row>
    <row r="6" spans="1:9" ht="12.75">
      <c r="A6" s="14" t="s">
        <v>1070</v>
      </c>
      <c r="B6" s="42">
        <v>164.7</v>
      </c>
      <c r="C6" s="42">
        <v>152.8</v>
      </c>
      <c r="D6" s="42">
        <v>147.2</v>
      </c>
      <c r="E6" s="42">
        <v>123.4</v>
      </c>
      <c r="F6" s="42">
        <v>160.4</v>
      </c>
      <c r="G6" s="465">
        <f>AVERAGE(B6:F6)</f>
        <v>149.7</v>
      </c>
      <c r="H6" s="15">
        <v>56</v>
      </c>
      <c r="I6" s="15">
        <f>H6*G6</f>
        <v>8383.199999999999</v>
      </c>
    </row>
    <row r="7" spans="1:9" ht="12.75">
      <c r="A7" s="14" t="s">
        <v>1066</v>
      </c>
      <c r="B7" s="15">
        <v>7085</v>
      </c>
      <c r="C7" s="15">
        <v>6725</v>
      </c>
      <c r="D7" s="15">
        <v>7067</v>
      </c>
      <c r="E7" s="15">
        <v>7449</v>
      </c>
      <c r="F7" s="15">
        <v>7660</v>
      </c>
      <c r="G7" s="118">
        <f>AVERAGE(B7:F7)</f>
        <v>7197.2</v>
      </c>
      <c r="H7" s="271" t="s">
        <v>1099</v>
      </c>
      <c r="I7" s="15">
        <f>G7</f>
        <v>7197.2</v>
      </c>
    </row>
    <row r="8" spans="1:9" ht="12.75">
      <c r="A8" s="14" t="s">
        <v>1067</v>
      </c>
      <c r="B8" s="42">
        <v>67.5</v>
      </c>
      <c r="C8" s="42">
        <v>64.3</v>
      </c>
      <c r="D8" s="42">
        <v>57.1</v>
      </c>
      <c r="E8" s="42">
        <v>61.3</v>
      </c>
      <c r="F8" s="42">
        <v>64</v>
      </c>
      <c r="G8" s="465">
        <f>AVERAGE(B8:F8)</f>
        <v>62.839999999999996</v>
      </c>
      <c r="H8" s="15">
        <v>32</v>
      </c>
      <c r="I8" s="15">
        <f>H8*G8</f>
        <v>2010.8799999999999</v>
      </c>
    </row>
    <row r="9" spans="1:9" ht="12.75">
      <c r="A9" s="14" t="s">
        <v>1069</v>
      </c>
      <c r="B9" s="42">
        <v>73</v>
      </c>
      <c r="C9" s="42">
        <v>73.1</v>
      </c>
      <c r="D9" s="42">
        <v>69.6</v>
      </c>
      <c r="E9" s="42">
        <v>67.9</v>
      </c>
      <c r="F9" s="42">
        <v>71.7</v>
      </c>
      <c r="G9" s="465">
        <f>AVERAGE(B9:F9)</f>
        <v>71.06</v>
      </c>
      <c r="H9" s="15">
        <v>48</v>
      </c>
      <c r="I9" s="15">
        <f>H9*G9</f>
        <v>3410.88</v>
      </c>
    </row>
    <row r="10" spans="1:8" ht="12.75">
      <c r="A10" s="14"/>
      <c r="B10" s="15"/>
      <c r="C10" s="15"/>
      <c r="D10" s="15"/>
      <c r="E10" s="15"/>
      <c r="F10" s="15"/>
      <c r="H10" s="995"/>
    </row>
    <row r="11" ht="12.75">
      <c r="A11" s="14" t="s">
        <v>1072</v>
      </c>
    </row>
    <row r="12" ht="12.75">
      <c r="A12" s="14" t="s">
        <v>1073</v>
      </c>
    </row>
    <row r="13" ht="12.75">
      <c r="A13" s="14" t="s">
        <v>1074</v>
      </c>
    </row>
    <row r="17" ht="12.75">
      <c r="A17" s="14" t="s">
        <v>1098</v>
      </c>
    </row>
    <row r="18" spans="1:9" ht="12.75">
      <c r="A18" s="14"/>
      <c r="B18" s="66">
        <v>2009</v>
      </c>
      <c r="C18" s="66">
        <v>2010</v>
      </c>
      <c r="D18" s="66">
        <v>2011</v>
      </c>
      <c r="E18" s="66">
        <v>2012</v>
      </c>
      <c r="F18" s="66">
        <v>2013</v>
      </c>
      <c r="G18" s="159" t="s">
        <v>836</v>
      </c>
      <c r="H18" s="159" t="s">
        <v>1068</v>
      </c>
      <c r="I18" s="159" t="s">
        <v>99</v>
      </c>
    </row>
    <row r="19" spans="1:9" ht="12.75">
      <c r="A19" s="14" t="s">
        <v>1097</v>
      </c>
      <c r="B19" s="14">
        <v>55</v>
      </c>
      <c r="C19" s="1030">
        <v>60</v>
      </c>
      <c r="D19" s="14">
        <v>35</v>
      </c>
      <c r="E19" s="14">
        <v>60</v>
      </c>
      <c r="F19" s="14">
        <v>53</v>
      </c>
      <c r="G19">
        <f>AVERAGE(B19:F19)</f>
        <v>52.6</v>
      </c>
      <c r="H19">
        <v>48</v>
      </c>
      <c r="I19" s="15">
        <f>H19*G19</f>
        <v>2524.8</v>
      </c>
    </row>
    <row r="20" spans="1:6" ht="12.75">
      <c r="A20" s="14"/>
      <c r="B20" s="14"/>
      <c r="C20" s="1031"/>
      <c r="D20" s="14"/>
      <c r="E20" s="14"/>
      <c r="F20" s="14"/>
    </row>
    <row r="21" ht="12.75">
      <c r="A21" s="14" t="s">
        <v>1026</v>
      </c>
    </row>
    <row r="22" ht="12.75">
      <c r="A22" s="14" t="s">
        <v>1096</v>
      </c>
    </row>
  </sheetData>
  <sheetProtection/>
  <mergeCells count="1">
    <mergeCell ref="B3:I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T39"/>
  <sheetViews>
    <sheetView zoomScalePageLayoutView="0" workbookViewId="0" topLeftCell="A1">
      <selection activeCell="G35" sqref="G35"/>
    </sheetView>
  </sheetViews>
  <sheetFormatPr defaultColWidth="8.8515625" defaultRowHeight="12.75"/>
  <cols>
    <col min="1" max="1" width="21.421875" style="0" customWidth="1"/>
    <col min="2" max="2" width="10.7109375" style="14" customWidth="1"/>
    <col min="3" max="3" width="14.421875" style="0" customWidth="1"/>
    <col min="4" max="4" width="9.7109375" style="0" customWidth="1"/>
    <col min="5" max="5" width="8.8515625" style="0" customWidth="1"/>
    <col min="6" max="6" width="15.28125" style="0" customWidth="1"/>
    <col min="7" max="7" width="10.00390625" style="0" bestFit="1" customWidth="1"/>
    <col min="8" max="8" width="15.00390625" style="0" bestFit="1" customWidth="1"/>
    <col min="9" max="9" width="12.140625" style="0" customWidth="1"/>
    <col min="10" max="10" width="10.140625" style="0" customWidth="1"/>
    <col min="11" max="11" width="8.8515625" style="0" customWidth="1"/>
    <col min="12" max="12" width="12.7109375" style="0" customWidth="1"/>
    <col min="13" max="17" width="9.28125" style="0" bestFit="1" customWidth="1"/>
    <col min="18" max="18" width="15.00390625" style="0" bestFit="1" customWidth="1"/>
    <col min="19" max="19" width="9.28125" style="0" bestFit="1" customWidth="1"/>
  </cols>
  <sheetData>
    <row r="1" ht="18">
      <c r="A1" s="301" t="s">
        <v>110</v>
      </c>
    </row>
    <row r="2" s="14" customFormat="1" ht="12.75">
      <c r="A2" s="14" t="s">
        <v>808</v>
      </c>
    </row>
    <row r="3" spans="1:6" s="754" customFormat="1" ht="12">
      <c r="A3" s="754" t="s">
        <v>109</v>
      </c>
      <c r="B3" s="654">
        <v>17000000</v>
      </c>
      <c r="E3" s="563"/>
      <c r="F3" s="563"/>
    </row>
    <row r="4" spans="5:6" s="14" customFormat="1" ht="12.75">
      <c r="E4" s="19"/>
      <c r="F4" s="19"/>
    </row>
    <row r="5" spans="2:12" s="14" customFormat="1" ht="12.75">
      <c r="B5" s="779"/>
      <c r="E5" s="19"/>
      <c r="F5" s="19"/>
      <c r="K5" s="166"/>
      <c r="L5" s="265"/>
    </row>
    <row r="6" spans="2:9" s="504" customFormat="1" ht="38.25" customHeight="1">
      <c r="B6" s="1192" t="s">
        <v>870</v>
      </c>
      <c r="C6" s="1194"/>
      <c r="D6" s="1192" t="s">
        <v>871</v>
      </c>
      <c r="E6" s="1193"/>
      <c r="F6" s="706" t="s">
        <v>45</v>
      </c>
      <c r="G6" s="1192" t="s">
        <v>872</v>
      </c>
      <c r="H6" s="1194"/>
      <c r="I6" s="780" t="s">
        <v>839</v>
      </c>
    </row>
    <row r="7" spans="1:9" s="782" customFormat="1" ht="33.75">
      <c r="A7" s="535"/>
      <c r="B7" s="533" t="s">
        <v>249</v>
      </c>
      <c r="C7" s="533" t="s">
        <v>873</v>
      </c>
      <c r="D7" s="533" t="s">
        <v>249</v>
      </c>
      <c r="E7" s="533" t="s">
        <v>873</v>
      </c>
      <c r="F7" s="532" t="s">
        <v>831</v>
      </c>
      <c r="G7" s="535" t="s">
        <v>192</v>
      </c>
      <c r="H7" s="781" t="s">
        <v>874</v>
      </c>
      <c r="I7" s="533" t="s">
        <v>875</v>
      </c>
    </row>
    <row r="8" spans="1:19" s="14" customFormat="1" ht="12.75" customHeight="1">
      <c r="A8" s="14" t="s">
        <v>1007</v>
      </c>
      <c r="B8" s="201">
        <f>ProteinCurrent!AD9</f>
        <v>2.017187105193384</v>
      </c>
      <c r="C8" s="58">
        <f aca="true" t="shared" si="0" ref="C8:C14">B8*7</f>
        <v>14.120309736353688</v>
      </c>
      <c r="D8" s="783">
        <f>G8/F8</f>
        <v>0.5488561845086742</v>
      </c>
      <c r="E8" s="205">
        <f>D8*7</f>
        <v>3.8419932915607196</v>
      </c>
      <c r="F8" s="784">
        <f>ProteinCurrent!AF9</f>
        <v>44.60914881748352</v>
      </c>
      <c r="G8" s="59">
        <f>H8/17000000</f>
        <v>24.48400721414364</v>
      </c>
      <c r="H8" s="872">
        <f>Cattle!B38+Cattle!J18</f>
        <v>416228122.6404419</v>
      </c>
      <c r="I8" s="785">
        <f>(D8/B8)</f>
        <v>0.27208987361440445</v>
      </c>
      <c r="J8" s="19"/>
      <c r="L8" s="166"/>
      <c r="M8" s="166"/>
      <c r="N8" s="166"/>
      <c r="O8" s="166"/>
      <c r="P8" s="166"/>
      <c r="Q8" s="166"/>
      <c r="R8" s="166"/>
      <c r="S8" s="166"/>
    </row>
    <row r="9" spans="1:10" s="14" customFormat="1" ht="12.75">
      <c r="A9" s="14" t="s">
        <v>1012</v>
      </c>
      <c r="B9" s="183">
        <f>ProteinCurrent!AD12</f>
        <v>0.02309333512140605</v>
      </c>
      <c r="C9" s="58">
        <f t="shared" si="0"/>
        <v>0.16165334584984237</v>
      </c>
      <c r="D9" s="200">
        <f>E9/7</f>
        <v>0.08571428571428572</v>
      </c>
      <c r="E9" s="205">
        <v>0.6</v>
      </c>
      <c r="F9" s="786">
        <f>ProteinCurrent!AF12</f>
        <v>49.41458088899296</v>
      </c>
      <c r="G9" s="59">
        <f>D9*F9</f>
        <v>4.235535504770825</v>
      </c>
      <c r="H9" s="163">
        <f>G9*B3</f>
        <v>72004103.58110403</v>
      </c>
      <c r="I9" s="787">
        <f aca="true" t="shared" si="1" ref="I9:I14">(D9/B9)</f>
        <v>3.711646033960423</v>
      </c>
      <c r="J9" s="19"/>
    </row>
    <row r="10" spans="1:10" s="14" customFormat="1" ht="12.75">
      <c r="A10" s="14" t="s">
        <v>1011</v>
      </c>
      <c r="B10" s="199">
        <f>ProteinCurrent!AD13</f>
        <v>1.369442488959365</v>
      </c>
      <c r="C10" s="58">
        <f t="shared" si="0"/>
        <v>9.586097422715556</v>
      </c>
      <c r="D10" s="255">
        <f>E10/7</f>
        <v>0.6</v>
      </c>
      <c r="E10" s="205">
        <v>4.2</v>
      </c>
      <c r="F10" s="786">
        <f>ProteinCurrent!AF13</f>
        <v>46.08207412472987</v>
      </c>
      <c r="G10" s="59">
        <f>D10*F10</f>
        <v>27.64924447483792</v>
      </c>
      <c r="H10" s="163">
        <f>G10*$B$3</f>
        <v>470037156.07224464</v>
      </c>
      <c r="I10" s="787">
        <f t="shared" si="1"/>
        <v>0.438134499869314</v>
      </c>
      <c r="J10" s="19"/>
    </row>
    <row r="11" spans="1:9" s="19" customFormat="1" ht="12.75">
      <c r="A11" s="19" t="s">
        <v>1018</v>
      </c>
      <c r="B11" s="199">
        <f>ProteinCurrent!AD14</f>
        <v>0.47264608539348235</v>
      </c>
      <c r="C11" s="58">
        <f t="shared" si="0"/>
        <v>3.3085225977543766</v>
      </c>
      <c r="D11" s="255">
        <f>B11</f>
        <v>0.47264608539348235</v>
      </c>
      <c r="E11" s="205">
        <f>D11*7</f>
        <v>3.3085225977543766</v>
      </c>
      <c r="F11" s="788" t="s">
        <v>876</v>
      </c>
      <c r="G11" s="59">
        <f>(E11*(365/7))/(1-ProteinCurrent!P14)</f>
        <v>296.0996883405282</v>
      </c>
      <c r="H11" s="163">
        <f>G11*$B$3</f>
        <v>5033694701.78898</v>
      </c>
      <c r="I11" s="787">
        <f t="shared" si="1"/>
        <v>1</v>
      </c>
    </row>
    <row r="12" spans="1:10" s="14" customFormat="1" ht="12.75">
      <c r="A12" s="14" t="s">
        <v>877</v>
      </c>
      <c r="B12" s="199">
        <f>ProteinCurrent!AD15</f>
        <v>2.100394374082968</v>
      </c>
      <c r="C12" s="58">
        <f t="shared" si="0"/>
        <v>14.702760618580776</v>
      </c>
      <c r="D12" s="255">
        <f>B12</f>
        <v>2.100394374082968</v>
      </c>
      <c r="E12" s="205">
        <f>D12*7</f>
        <v>14.702760618580776</v>
      </c>
      <c r="F12" s="786">
        <f>ProteinCurrent!AF15</f>
        <v>46.42550538135454</v>
      </c>
      <c r="G12" s="59">
        <f>D12*F12</f>
        <v>97.51187031695562</v>
      </c>
      <c r="H12" s="163">
        <f>G12*$B$3</f>
        <v>1657701795.3882456</v>
      </c>
      <c r="I12" s="787">
        <f t="shared" si="1"/>
        <v>1</v>
      </c>
      <c r="J12" s="19"/>
    </row>
    <row r="13" spans="1:10" s="14" customFormat="1" ht="12.75">
      <c r="A13" s="14" t="s">
        <v>878</v>
      </c>
      <c r="B13" s="199">
        <f>ProteinCurrent!AD16</f>
        <v>0.3696149851240257</v>
      </c>
      <c r="C13" s="58">
        <f t="shared" si="0"/>
        <v>2.5873048958681797</v>
      </c>
      <c r="D13" s="255">
        <f>B13</f>
        <v>0.3696149851240257</v>
      </c>
      <c r="E13" s="205">
        <f>D13*7</f>
        <v>2.5873048958681797</v>
      </c>
      <c r="F13" s="786">
        <f>ProteinCurrent!AF16</f>
        <v>46.018207063579204</v>
      </c>
      <c r="G13" s="59">
        <f>D13*F13</f>
        <v>17.00901891923916</v>
      </c>
      <c r="H13" s="163">
        <f>G13*$B$3</f>
        <v>289153321.6270657</v>
      </c>
      <c r="I13" s="787">
        <f t="shared" si="1"/>
        <v>1</v>
      </c>
      <c r="J13" s="19"/>
    </row>
    <row r="14" spans="1:10" s="14" customFormat="1" ht="12.75">
      <c r="A14" s="19" t="s">
        <v>1010</v>
      </c>
      <c r="B14" s="956">
        <f>ProteinCurrent!AD17</f>
        <v>0.4250263970380018</v>
      </c>
      <c r="C14" s="789">
        <f t="shared" si="0"/>
        <v>2.9751847792660127</v>
      </c>
      <c r="D14" s="973">
        <f>E14/7</f>
        <v>0.5714285714285714</v>
      </c>
      <c r="E14" s="790">
        <v>4</v>
      </c>
      <c r="F14" s="791">
        <f>ProteinCurrent!AF17</f>
        <v>37.77550780778374</v>
      </c>
      <c r="G14" s="423">
        <f>D14*F14</f>
        <v>21.586004461590708</v>
      </c>
      <c r="H14" s="871">
        <f>G14*$B$3</f>
        <v>366962075.847042</v>
      </c>
      <c r="I14" s="792">
        <f t="shared" si="1"/>
        <v>1.344454310157775</v>
      </c>
      <c r="J14" s="19"/>
    </row>
    <row r="15" spans="1:10" s="14" customFormat="1" ht="12.75">
      <c r="A15" s="112" t="s">
        <v>60</v>
      </c>
      <c r="B15" s="178">
        <f>SUM(B8:B14)</f>
        <v>6.777404770912632</v>
      </c>
      <c r="C15" s="178">
        <f>B15*7</f>
        <v>47.441833396388425</v>
      </c>
      <c r="D15" s="178">
        <f>SUM(D8:D14)</f>
        <v>4.748654486252007</v>
      </c>
      <c r="E15" s="178">
        <f>D15*7</f>
        <v>33.24058140376405</v>
      </c>
      <c r="F15" s="178"/>
      <c r="G15" s="178">
        <f>SUM(G8:G14)</f>
        <v>488.57536923206607</v>
      </c>
      <c r="H15" s="164">
        <f>SUM(H8:H14)</f>
        <v>8305781276.945124</v>
      </c>
      <c r="I15" s="793">
        <f>(D15/B15)</f>
        <v>0.7006597136757057</v>
      </c>
      <c r="J15" s="19"/>
    </row>
    <row r="16" spans="1:7" s="14" customFormat="1" ht="12.75">
      <c r="A16" s="82" t="s">
        <v>1008</v>
      </c>
      <c r="B16" s="20"/>
      <c r="D16" s="20"/>
      <c r="G16" s="20"/>
    </row>
    <row r="17" spans="1:6" s="14" customFormat="1" ht="12.75">
      <c r="A17" s="82" t="s">
        <v>1006</v>
      </c>
      <c r="B17" s="20"/>
      <c r="C17" s="20"/>
      <c r="D17" s="177"/>
      <c r="E17" s="165"/>
      <c r="F17" s="165"/>
    </row>
    <row r="18" spans="1:6" s="14" customFormat="1" ht="12.75">
      <c r="A18" s="82" t="s">
        <v>1009</v>
      </c>
      <c r="B18" s="20"/>
      <c r="C18" s="20"/>
      <c r="D18" s="184"/>
      <c r="E18" s="165"/>
      <c r="F18" s="165"/>
    </row>
    <row r="19" s="19" customFormat="1" ht="12.75">
      <c r="G19" s="37"/>
    </row>
    <row r="20" spans="2:12" s="794" customFormat="1" ht="24">
      <c r="B20" s="1192" t="s">
        <v>870</v>
      </c>
      <c r="C20" s="1194"/>
      <c r="D20" s="1192" t="s">
        <v>871</v>
      </c>
      <c r="E20" s="1193"/>
      <c r="F20" s="795" t="s">
        <v>879</v>
      </c>
      <c r="G20" s="1192" t="s">
        <v>559</v>
      </c>
      <c r="H20" s="1194"/>
      <c r="I20" s="537" t="s">
        <v>119</v>
      </c>
      <c r="J20" s="1251" t="s">
        <v>666</v>
      </c>
      <c r="K20" s="1251"/>
      <c r="L20" s="780" t="s">
        <v>839</v>
      </c>
    </row>
    <row r="21" spans="1:12" s="782" customFormat="1" ht="33.75">
      <c r="A21" s="461"/>
      <c r="B21" s="533" t="s">
        <v>249</v>
      </c>
      <c r="C21" s="533" t="s">
        <v>250</v>
      </c>
      <c r="D21" s="533" t="s">
        <v>249</v>
      </c>
      <c r="E21" s="534" t="s">
        <v>250</v>
      </c>
      <c r="F21" s="532" t="s">
        <v>831</v>
      </c>
      <c r="G21" s="533" t="s">
        <v>192</v>
      </c>
      <c r="H21" s="533" t="s">
        <v>35</v>
      </c>
      <c r="I21" s="533" t="s">
        <v>99</v>
      </c>
      <c r="J21" s="797" t="s">
        <v>355</v>
      </c>
      <c r="K21" s="533" t="s">
        <v>191</v>
      </c>
      <c r="L21" s="533" t="s">
        <v>875</v>
      </c>
    </row>
    <row r="22" spans="1:12" s="19" customFormat="1" ht="12.75">
      <c r="A22" s="19" t="s">
        <v>880</v>
      </c>
      <c r="B22" s="424" t="s">
        <v>665</v>
      </c>
      <c r="C22" s="225" t="s">
        <v>665</v>
      </c>
      <c r="D22" s="183">
        <f>E22/7</f>
        <v>0.38571428571428573</v>
      </c>
      <c r="E22" s="798">
        <v>2.7</v>
      </c>
      <c r="F22" s="799" t="s">
        <v>881</v>
      </c>
      <c r="G22" s="199">
        <f>((D22*(365/16))*(2/3))/(1-0.15)</f>
        <v>6.901260504201681</v>
      </c>
      <c r="H22" s="78">
        <f>G22*B3</f>
        <v>117321428.57142858</v>
      </c>
      <c r="I22" s="68">
        <f>VegY!W53</f>
        <v>1750</v>
      </c>
      <c r="J22" s="68">
        <f>H22/I22</f>
        <v>67040.81632653062</v>
      </c>
      <c r="K22" s="80">
        <f>J22/1000</f>
        <v>67.04081632653062</v>
      </c>
      <c r="L22" s="800" t="s">
        <v>76</v>
      </c>
    </row>
    <row r="23" spans="1:254" s="57" customFormat="1" ht="12.75">
      <c r="A23" s="82" t="s">
        <v>367</v>
      </c>
      <c r="B23" s="424" t="s">
        <v>76</v>
      </c>
      <c r="C23" s="225" t="s">
        <v>76</v>
      </c>
      <c r="D23" s="255">
        <f>E23/7</f>
        <v>0.2571428571428572</v>
      </c>
      <c r="E23" s="98">
        <v>1.8</v>
      </c>
      <c r="F23" s="801" t="s">
        <v>882</v>
      </c>
      <c r="G23" s="200">
        <f>((D23*(365/16)*(1/3))/(1-0.3))</f>
        <v>2.7933673469387754</v>
      </c>
      <c r="H23" s="78">
        <f>G23*B3</f>
        <v>47487244.89795918</v>
      </c>
      <c r="I23" s="426">
        <f>VegY!W53</f>
        <v>1750</v>
      </c>
      <c r="J23" s="426">
        <f>H23/I23</f>
        <v>27135.56851311953</v>
      </c>
      <c r="K23" s="186">
        <f>J23/1000</f>
        <v>27.13556851311953</v>
      </c>
      <c r="L23" s="802" t="s">
        <v>76</v>
      </c>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row>
    <row r="24" spans="1:12" s="82" customFormat="1" ht="12.75">
      <c r="A24" s="82" t="s">
        <v>61</v>
      </c>
      <c r="B24" s="803">
        <f>Nuts!B14</f>
        <v>0.5164856467439891</v>
      </c>
      <c r="C24" s="790">
        <f>B24*7</f>
        <v>3.6153995272079236</v>
      </c>
      <c r="D24" s="255">
        <v>0.52</v>
      </c>
      <c r="E24" s="205">
        <f>D24*7</f>
        <v>3.64</v>
      </c>
      <c r="F24" s="786">
        <f>ProteinCurrent!AF29</f>
        <v>12.666793990216794</v>
      </c>
      <c r="G24" s="200">
        <f>D24*F24</f>
        <v>6.586732874912733</v>
      </c>
      <c r="H24" s="78">
        <f>G24*17000000</f>
        <v>111974458.87351646</v>
      </c>
      <c r="I24" s="426">
        <f>Nuts!K14</f>
        <v>2664.2250000000004</v>
      </c>
      <c r="J24" s="426">
        <f>Nuts!L14</f>
        <v>44525.14333436553</v>
      </c>
      <c r="K24" s="804">
        <f>J24/1000</f>
        <v>44.52514333436553</v>
      </c>
      <c r="L24" s="805">
        <f>(D24/B24)</f>
        <v>1.0068043580265318</v>
      </c>
    </row>
    <row r="25" spans="1:13" s="40" customFormat="1" ht="12.75">
      <c r="A25" s="82" t="s">
        <v>62</v>
      </c>
      <c r="B25" s="803">
        <f>Nuts!B13</f>
        <v>0.24436845138184643</v>
      </c>
      <c r="C25" s="806">
        <f>B25*7</f>
        <v>1.710579159672925</v>
      </c>
      <c r="D25" s="255">
        <v>0.35</v>
      </c>
      <c r="E25" s="205">
        <f>D25*7</f>
        <v>2.4499999999999997</v>
      </c>
      <c r="F25" s="807">
        <f>Nuts!I13/Nuts!E13</f>
        <v>15.111026483134015</v>
      </c>
      <c r="G25" s="200">
        <f>D25*F25</f>
        <v>5.288859269096905</v>
      </c>
      <c r="H25" s="78">
        <f>G25*17000000</f>
        <v>89910607.57464738</v>
      </c>
      <c r="I25" s="426">
        <f>Nuts!K13</f>
        <v>1412.8027017353984</v>
      </c>
      <c r="J25" s="426">
        <f>Nuts!L13</f>
        <v>63639.889323687465</v>
      </c>
      <c r="K25" s="804">
        <f>J25/1000</f>
        <v>63.63988932368746</v>
      </c>
      <c r="L25" s="808">
        <f>(D25/B25)</f>
        <v>1.4322634448957379</v>
      </c>
      <c r="M25" s="82"/>
    </row>
    <row r="26" spans="1:13" s="40" customFormat="1" ht="12.75">
      <c r="A26" s="158" t="s">
        <v>883</v>
      </c>
      <c r="B26" s="250">
        <f>SUM(B22:B25)</f>
        <v>0.7608540981258356</v>
      </c>
      <c r="C26" s="250">
        <f>SUM(C22:C25)</f>
        <v>5.325978686880848</v>
      </c>
      <c r="D26" s="425">
        <f>SUM(D22:D25)</f>
        <v>1.512857142857143</v>
      </c>
      <c r="E26" s="809">
        <f>SUM(E22:E25)</f>
        <v>10.59</v>
      </c>
      <c r="F26" s="784"/>
      <c r="G26" s="783">
        <f>SUM(G22:G25)</f>
        <v>21.570219995150097</v>
      </c>
      <c r="H26" s="229">
        <f>SUM(H22:H25)</f>
        <v>366693739.9175516</v>
      </c>
      <c r="I26" s="810"/>
      <c r="J26" s="811">
        <f>SUM(J22:J25)</f>
        <v>202341.41749770317</v>
      </c>
      <c r="K26" s="812">
        <f>J26/1000</f>
        <v>202.34141749770316</v>
      </c>
      <c r="L26" s="805">
        <f>(D26/B26)</f>
        <v>1.9883669504884964</v>
      </c>
      <c r="M26" s="82"/>
    </row>
    <row r="27" spans="1:13" s="40" customFormat="1" ht="12.75">
      <c r="A27" s="82"/>
      <c r="B27" s="254"/>
      <c r="C27" s="254"/>
      <c r="D27" s="254"/>
      <c r="E27" s="205"/>
      <c r="F27" s="205"/>
      <c r="G27" s="205"/>
      <c r="H27" s="78"/>
      <c r="I27" s="99"/>
      <c r="J27" s="186"/>
      <c r="K27" s="186"/>
      <c r="L27" s="978"/>
      <c r="M27" s="82"/>
    </row>
    <row r="28" spans="2:7" s="40" customFormat="1" ht="12.75">
      <c r="B28" s="254"/>
      <c r="C28" s="254"/>
      <c r="D28" s="254"/>
      <c r="E28" s="254"/>
      <c r="F28" s="254"/>
      <c r="G28" s="82"/>
    </row>
    <row r="29" spans="2:7" s="40" customFormat="1" ht="12.75">
      <c r="B29" s="254"/>
      <c r="C29" s="254" t="s">
        <v>1013</v>
      </c>
      <c r="D29" s="254">
        <f>(G22+G23)/F29</f>
        <v>0.13548482652649352</v>
      </c>
      <c r="E29" s="205">
        <f>D29*7</f>
        <v>0.9483937856854546</v>
      </c>
      <c r="F29" s="254">
        <v>71.55508184707836</v>
      </c>
      <c r="G29" s="82"/>
    </row>
    <row r="30" spans="1:7" s="40" customFormat="1" ht="12.75">
      <c r="A30" s="82" t="s">
        <v>829</v>
      </c>
      <c r="B30" s="254"/>
      <c r="C30" s="254"/>
      <c r="D30" s="82"/>
      <c r="E30" s="254"/>
      <c r="F30" s="254"/>
      <c r="G30" s="82"/>
    </row>
    <row r="31" spans="1:12" s="14" customFormat="1" ht="12.75">
      <c r="A31" s="40"/>
      <c r="B31" s="160" t="s">
        <v>230</v>
      </c>
      <c r="C31" s="269" t="s">
        <v>231</v>
      </c>
      <c r="D31" s="177"/>
      <c r="E31" s="19"/>
      <c r="F31" s="19"/>
      <c r="K31" s="166"/>
      <c r="L31" s="265"/>
    </row>
    <row r="32" spans="1:12" s="14" customFormat="1" ht="12.75">
      <c r="A32" s="82"/>
      <c r="B32" s="160" t="s">
        <v>249</v>
      </c>
      <c r="C32" s="160" t="s">
        <v>250</v>
      </c>
      <c r="E32" s="19"/>
      <c r="F32" s="19"/>
      <c r="K32" s="166"/>
      <c r="L32" s="265"/>
    </row>
    <row r="33" spans="1:12" s="14" customFormat="1" ht="12.75">
      <c r="A33" s="82">
        <v>2060</v>
      </c>
      <c r="B33" s="422">
        <f>D15+D26</f>
        <v>6.261511629109149</v>
      </c>
      <c r="C33" s="254">
        <f>B33*7</f>
        <v>43.83058140376404</v>
      </c>
      <c r="E33" s="19"/>
      <c r="F33" s="19"/>
      <c r="K33" s="166"/>
      <c r="L33" s="265"/>
    </row>
    <row r="34" spans="1:12" s="14" customFormat="1" ht="12.75">
      <c r="A34" s="77" t="s">
        <v>660</v>
      </c>
      <c r="B34" s="813" t="s">
        <v>663</v>
      </c>
      <c r="C34" s="265" t="s">
        <v>662</v>
      </c>
      <c r="E34" s="19"/>
      <c r="F34" s="19"/>
      <c r="K34" s="166"/>
      <c r="L34" s="265"/>
    </row>
    <row r="35" spans="1:12" s="14" customFormat="1" ht="12.75">
      <c r="A35" s="14" t="s">
        <v>661</v>
      </c>
      <c r="B35" s="272">
        <f>B15+B26</f>
        <v>7.538258869038468</v>
      </c>
      <c r="C35" s="176">
        <f>B35*7</f>
        <v>52.76781208326928</v>
      </c>
      <c r="E35" s="19"/>
      <c r="F35" s="19"/>
      <c r="K35" s="166"/>
      <c r="L35" s="265"/>
    </row>
    <row r="36" spans="4:9" s="40" customFormat="1" ht="12.75">
      <c r="D36" s="814"/>
      <c r="E36" s="815"/>
      <c r="F36" s="815"/>
      <c r="G36" s="236"/>
      <c r="H36" s="236"/>
      <c r="I36" s="82"/>
    </row>
    <row r="37" spans="1:16" s="27" customFormat="1" ht="12.75">
      <c r="A37" s="40"/>
      <c r="B37" s="40"/>
      <c r="C37" s="40"/>
      <c r="D37" s="78"/>
      <c r="E37" s="82"/>
      <c r="F37" s="82"/>
      <c r="G37" s="82"/>
      <c r="H37" s="82"/>
      <c r="I37" s="82"/>
      <c r="J37" s="40"/>
      <c r="K37" s="40"/>
      <c r="L37" s="40"/>
      <c r="M37" s="40"/>
      <c r="N37" s="40"/>
      <c r="O37" s="40"/>
      <c r="P37" s="40"/>
    </row>
    <row r="38" spans="1:16" s="27" customFormat="1" ht="12.75">
      <c r="A38" s="40"/>
      <c r="B38" s="40"/>
      <c r="C38" s="40"/>
      <c r="D38" s="393"/>
      <c r="E38" s="254"/>
      <c r="F38" s="254"/>
      <c r="G38" s="171"/>
      <c r="H38" s="40"/>
      <c r="I38" s="76"/>
      <c r="J38" s="40"/>
      <c r="K38" s="40"/>
      <c r="L38" s="40"/>
      <c r="M38" s="40"/>
      <c r="N38" s="40"/>
      <c r="O38" s="40"/>
      <c r="P38" s="40"/>
    </row>
    <row r="39" spans="1:16" ht="12.75">
      <c r="A39" s="14"/>
      <c r="C39" s="14"/>
      <c r="D39" s="19"/>
      <c r="E39" s="19"/>
      <c r="F39" s="19"/>
      <c r="G39" s="14"/>
      <c r="H39" s="14"/>
      <c r="I39" s="14"/>
      <c r="J39" s="14"/>
      <c r="K39" s="14"/>
      <c r="L39" s="14"/>
      <c r="M39" s="14"/>
      <c r="N39" s="14"/>
      <c r="O39" s="14"/>
      <c r="P39" s="14"/>
    </row>
  </sheetData>
  <sheetProtection/>
  <mergeCells count="7">
    <mergeCell ref="J20:K20"/>
    <mergeCell ref="B6:C6"/>
    <mergeCell ref="D6:E6"/>
    <mergeCell ref="G6:H6"/>
    <mergeCell ref="B20:C20"/>
    <mergeCell ref="D20:E20"/>
    <mergeCell ref="G20:H20"/>
  </mergeCells>
  <printOptions/>
  <pageMargins left="0.7" right="0.7" top="0.75" bottom="0.75" header="0.3" footer="0.3"/>
  <pageSetup horizontalDpi="600" verticalDpi="600" orientation="portrait"/>
  <legacyDrawing r:id="rId2"/>
</worksheet>
</file>

<file path=xl/worksheets/sheet14.xml><?xml version="1.0" encoding="utf-8"?>
<worksheet xmlns="http://schemas.openxmlformats.org/spreadsheetml/2006/main" xmlns:r="http://schemas.openxmlformats.org/officeDocument/2006/relationships">
  <dimension ref="A1:AN30"/>
  <sheetViews>
    <sheetView zoomScalePageLayoutView="0" workbookViewId="0" topLeftCell="A1">
      <selection activeCell="AM32" sqref="AM32"/>
    </sheetView>
  </sheetViews>
  <sheetFormatPr defaultColWidth="8.8515625" defaultRowHeight="12.75"/>
  <cols>
    <col min="1" max="1" width="15.140625" style="0" customWidth="1"/>
    <col min="2" max="2" width="8.8515625" style="0" customWidth="1"/>
    <col min="3" max="3" width="1.421875" style="0" hidden="1" customWidth="1"/>
    <col min="4" max="4" width="0" style="0" hidden="1" customWidth="1"/>
    <col min="5" max="5" width="1.421875" style="0" hidden="1" customWidth="1"/>
    <col min="6" max="6" width="0" style="0" hidden="1" customWidth="1"/>
    <col min="7" max="7" width="1.421875" style="0" hidden="1" customWidth="1"/>
    <col min="8" max="8" width="0" style="0" hidden="1" customWidth="1"/>
    <col min="9" max="9" width="1.421875" style="0" hidden="1" customWidth="1"/>
    <col min="10" max="10" width="0" style="0" hidden="1" customWidth="1"/>
    <col min="11" max="11" width="1.421875" style="0" hidden="1" customWidth="1"/>
    <col min="12" max="12" width="0" style="0" hidden="1" customWidth="1"/>
    <col min="13" max="13" width="1.421875" style="0" hidden="1" customWidth="1"/>
    <col min="14" max="14" width="0" style="0" hidden="1" customWidth="1"/>
    <col min="15" max="15" width="1.421875" style="0" hidden="1" customWidth="1"/>
    <col min="16" max="16" width="8.8515625" style="0" customWidth="1"/>
    <col min="17" max="17" width="1.421875" style="0" hidden="1" customWidth="1"/>
    <col min="18" max="18" width="8.8515625" style="0" customWidth="1"/>
    <col min="19" max="19" width="1.421875" style="0" hidden="1" customWidth="1"/>
    <col min="20" max="20" width="8.8515625" style="0" customWidth="1"/>
    <col min="21" max="21" width="1.421875" style="0" hidden="1" customWidth="1"/>
    <col min="22" max="22" width="8.8515625" style="0" customWidth="1"/>
    <col min="23" max="23" width="1.421875" style="0" hidden="1" customWidth="1"/>
    <col min="24" max="24" width="0" style="0" hidden="1" customWidth="1"/>
    <col min="25" max="25" width="1.421875" style="0" hidden="1" customWidth="1"/>
    <col min="26" max="26" width="0" style="0" hidden="1" customWidth="1"/>
    <col min="27" max="27" width="1.421875" style="0" hidden="1" customWidth="1"/>
    <col min="28" max="28" width="8.8515625" style="0" customWidth="1"/>
    <col min="29" max="29" width="1.421875" style="0" hidden="1" customWidth="1"/>
    <col min="30" max="30" width="12.00390625" style="0" customWidth="1"/>
    <col min="31" max="31" width="1.28515625" style="0" hidden="1" customWidth="1"/>
    <col min="32" max="32" width="11.140625" style="0" customWidth="1"/>
  </cols>
  <sheetData>
    <row r="1" ht="18">
      <c r="A1" s="301" t="s">
        <v>615</v>
      </c>
    </row>
    <row r="2" spans="1:28" ht="12.75">
      <c r="A2" s="14" t="s">
        <v>200</v>
      </c>
      <c r="AB2" s="27"/>
    </row>
    <row r="3" ht="12.75">
      <c r="A3" s="4"/>
    </row>
    <row r="4" spans="1:40" s="817" customFormat="1" ht="12" customHeight="1">
      <c r="A4" s="1252" t="s">
        <v>397</v>
      </c>
      <c r="B4" s="1255" t="s">
        <v>559</v>
      </c>
      <c r="C4" s="1256"/>
      <c r="D4" s="1261" t="s">
        <v>884</v>
      </c>
      <c r="E4" s="1256"/>
      <c r="F4" s="1255" t="s">
        <v>885</v>
      </c>
      <c r="G4" s="1256"/>
      <c r="H4" s="1255" t="s">
        <v>127</v>
      </c>
      <c r="I4" s="1256"/>
      <c r="J4" s="1255" t="s">
        <v>128</v>
      </c>
      <c r="K4" s="1256"/>
      <c r="L4" s="1262" t="s">
        <v>129</v>
      </c>
      <c r="M4" s="1263"/>
      <c r="N4" s="1263"/>
      <c r="O4" s="1264"/>
      <c r="P4" s="1255" t="s">
        <v>130</v>
      </c>
      <c r="Q4" s="1256"/>
      <c r="R4" s="1261" t="s">
        <v>131</v>
      </c>
      <c r="S4" s="1265"/>
      <c r="T4" s="1265"/>
      <c r="U4" s="1265"/>
      <c r="V4" s="1265"/>
      <c r="W4" s="1256"/>
      <c r="X4" s="1255" t="s">
        <v>886</v>
      </c>
      <c r="Y4" s="1256"/>
      <c r="Z4" s="1255" t="s">
        <v>887</v>
      </c>
      <c r="AA4" s="1256"/>
      <c r="AB4" s="1261" t="s">
        <v>696</v>
      </c>
      <c r="AC4" s="1256"/>
      <c r="AD4" s="1255" t="s">
        <v>888</v>
      </c>
      <c r="AE4" s="1265"/>
      <c r="AF4" s="1269" t="s">
        <v>45</v>
      </c>
      <c r="AG4" s="816"/>
      <c r="AH4" s="816"/>
      <c r="AI4" s="816"/>
      <c r="AJ4" s="816"/>
      <c r="AK4" s="816"/>
      <c r="AL4" s="816"/>
      <c r="AM4" s="816"/>
      <c r="AN4" s="816"/>
    </row>
    <row r="5" spans="1:40" s="817" customFormat="1" ht="12" customHeight="1">
      <c r="A5" s="1253"/>
      <c r="B5" s="1257"/>
      <c r="C5" s="1258"/>
      <c r="D5" s="1257"/>
      <c r="E5" s="1258"/>
      <c r="F5" s="1257"/>
      <c r="G5" s="1258"/>
      <c r="H5" s="1257"/>
      <c r="I5" s="1258"/>
      <c r="J5" s="1257"/>
      <c r="K5" s="1258"/>
      <c r="L5" s="1255" t="s">
        <v>133</v>
      </c>
      <c r="M5" s="1256"/>
      <c r="N5" s="1255" t="s">
        <v>134</v>
      </c>
      <c r="O5" s="1256"/>
      <c r="P5" s="1257"/>
      <c r="Q5" s="1258"/>
      <c r="R5" s="1257"/>
      <c r="S5" s="1266"/>
      <c r="T5" s="1266"/>
      <c r="U5" s="1266"/>
      <c r="V5" s="1266"/>
      <c r="W5" s="1258"/>
      <c r="X5" s="1257"/>
      <c r="Y5" s="1258"/>
      <c r="Z5" s="1257"/>
      <c r="AA5" s="1258"/>
      <c r="AB5" s="1257"/>
      <c r="AC5" s="1258"/>
      <c r="AD5" s="1257"/>
      <c r="AE5" s="1266"/>
      <c r="AF5" s="1269"/>
      <c r="AG5" s="816"/>
      <c r="AH5" s="816"/>
      <c r="AI5" s="816"/>
      <c r="AJ5" s="816"/>
      <c r="AK5" s="816"/>
      <c r="AL5" s="816"/>
      <c r="AM5" s="816"/>
      <c r="AN5" s="816"/>
    </row>
    <row r="6" spans="1:40" s="817" customFormat="1" ht="12" customHeight="1">
      <c r="A6" s="1253"/>
      <c r="B6" s="1257"/>
      <c r="C6" s="1258"/>
      <c r="D6" s="1257"/>
      <c r="E6" s="1258"/>
      <c r="F6" s="1257"/>
      <c r="G6" s="1258"/>
      <c r="H6" s="1257"/>
      <c r="I6" s="1258"/>
      <c r="J6" s="1257"/>
      <c r="K6" s="1258"/>
      <c r="L6" s="1257"/>
      <c r="M6" s="1258"/>
      <c r="N6" s="1257"/>
      <c r="O6" s="1258"/>
      <c r="P6" s="1257"/>
      <c r="Q6" s="1258"/>
      <c r="R6" s="1257"/>
      <c r="S6" s="1266"/>
      <c r="T6" s="1266"/>
      <c r="U6" s="1266"/>
      <c r="V6" s="1266"/>
      <c r="W6" s="1258"/>
      <c r="X6" s="1257"/>
      <c r="Y6" s="1258"/>
      <c r="Z6" s="1257"/>
      <c r="AA6" s="1258"/>
      <c r="AB6" s="1257"/>
      <c r="AC6" s="1258"/>
      <c r="AD6" s="1257"/>
      <c r="AE6" s="1266"/>
      <c r="AF6" s="1269"/>
      <c r="AG6" s="816"/>
      <c r="AH6" s="816"/>
      <c r="AI6" s="816"/>
      <c r="AJ6" s="816"/>
      <c r="AK6" s="816"/>
      <c r="AL6" s="816"/>
      <c r="AM6" s="816"/>
      <c r="AN6" s="816"/>
    </row>
    <row r="7" spans="1:40" s="817" customFormat="1" ht="12" customHeight="1">
      <c r="A7" s="1254"/>
      <c r="B7" s="1259"/>
      <c r="C7" s="1260"/>
      <c r="D7" s="1259"/>
      <c r="E7" s="1260"/>
      <c r="F7" s="1259"/>
      <c r="G7" s="1260"/>
      <c r="H7" s="1259"/>
      <c r="I7" s="1260"/>
      <c r="J7" s="1259"/>
      <c r="K7" s="1260"/>
      <c r="L7" s="1259"/>
      <c r="M7" s="1260"/>
      <c r="N7" s="1259"/>
      <c r="O7" s="1260"/>
      <c r="P7" s="1259"/>
      <c r="Q7" s="1260"/>
      <c r="R7" s="1259"/>
      <c r="S7" s="1267"/>
      <c r="T7" s="1267"/>
      <c r="U7" s="1267"/>
      <c r="V7" s="1267"/>
      <c r="W7" s="1260"/>
      <c r="X7" s="1259"/>
      <c r="Y7" s="1260"/>
      <c r="Z7" s="1259"/>
      <c r="AA7" s="1260"/>
      <c r="AB7" s="1259"/>
      <c r="AC7" s="1260"/>
      <c r="AD7" s="1259"/>
      <c r="AE7" s="1267"/>
      <c r="AF7" s="1269"/>
      <c r="AG7" s="816"/>
      <c r="AH7" s="816"/>
      <c r="AI7" s="816"/>
      <c r="AJ7" s="816"/>
      <c r="AK7" s="816"/>
      <c r="AL7" s="816"/>
      <c r="AM7" s="816"/>
      <c r="AN7" s="816"/>
    </row>
    <row r="8" spans="1:40" s="817" customFormat="1" ht="12" customHeight="1">
      <c r="A8" s="705"/>
      <c r="B8" s="1268" t="s">
        <v>477</v>
      </c>
      <c r="C8" s="1268"/>
      <c r="D8" s="1268" t="s">
        <v>478</v>
      </c>
      <c r="E8" s="1268"/>
      <c r="F8" s="1268" t="s">
        <v>477</v>
      </c>
      <c r="G8" s="1268"/>
      <c r="H8" s="1268" t="s">
        <v>478</v>
      </c>
      <c r="I8" s="1268"/>
      <c r="J8" s="1268" t="s">
        <v>477</v>
      </c>
      <c r="K8" s="1268"/>
      <c r="L8" s="1268" t="s">
        <v>478</v>
      </c>
      <c r="M8" s="1268"/>
      <c r="N8" s="1268" t="s">
        <v>478</v>
      </c>
      <c r="O8" s="1268"/>
      <c r="P8" s="1268" t="s">
        <v>478</v>
      </c>
      <c r="Q8" s="1268"/>
      <c r="R8" s="1268" t="s">
        <v>477</v>
      </c>
      <c r="S8" s="1268"/>
      <c r="T8" s="1268" t="s">
        <v>66</v>
      </c>
      <c r="U8" s="1268"/>
      <c r="V8" s="1268" t="s">
        <v>479</v>
      </c>
      <c r="W8" s="1268"/>
      <c r="X8" s="1268" t="s">
        <v>480</v>
      </c>
      <c r="Y8" s="1268"/>
      <c r="Z8" s="1268" t="s">
        <v>616</v>
      </c>
      <c r="AA8" s="1268"/>
      <c r="AB8" s="1268" t="s">
        <v>480</v>
      </c>
      <c r="AC8" s="1268"/>
      <c r="AD8" s="1268" t="s">
        <v>616</v>
      </c>
      <c r="AE8" s="1268"/>
      <c r="AF8" s="818" t="s">
        <v>837</v>
      </c>
      <c r="AG8" s="816"/>
      <c r="AH8" s="816"/>
      <c r="AI8" s="816"/>
      <c r="AJ8" s="816"/>
      <c r="AK8" s="816"/>
      <c r="AL8" s="816"/>
      <c r="AM8" s="816"/>
      <c r="AN8" s="816"/>
    </row>
    <row r="9" spans="1:40" s="40" customFormat="1" ht="12" customHeight="1">
      <c r="A9" s="398" t="s">
        <v>362</v>
      </c>
      <c r="B9" s="819">
        <f>B10+B11</f>
        <v>89.98499976828046</v>
      </c>
      <c r="C9" s="399"/>
      <c r="D9" s="399">
        <f>(1-(F9/$B$9))*100</f>
        <v>33.09129176988543</v>
      </c>
      <c r="E9" s="399"/>
      <c r="F9" s="399">
        <f>F10+F11</f>
        <v>60.20780094582804</v>
      </c>
      <c r="G9" s="399"/>
      <c r="H9" s="399">
        <f>(1-(J9/$B$9))*100</f>
        <v>36.07673368377754</v>
      </c>
      <c r="I9" s="399"/>
      <c r="J9" s="399">
        <f>J10+J11</f>
        <v>57.52135104653008</v>
      </c>
      <c r="K9" s="399"/>
      <c r="L9" s="399"/>
      <c r="M9" s="399"/>
      <c r="N9" s="399"/>
      <c r="O9" s="399"/>
      <c r="P9" s="820">
        <f>(1-(R9/$B$9))</f>
        <v>0.48861386947022023</v>
      </c>
      <c r="Q9" s="399"/>
      <c r="R9" s="819">
        <f>R10+R11</f>
        <v>46.01708083722407</v>
      </c>
      <c r="S9" s="819"/>
      <c r="T9" s="819">
        <f>T10+T11</f>
        <v>2.017187105193384</v>
      </c>
      <c r="U9" s="819"/>
      <c r="V9" s="819">
        <f>V10+V11</f>
        <v>57.186245838679845</v>
      </c>
      <c r="W9" s="819"/>
      <c r="X9" s="819"/>
      <c r="Y9" s="819"/>
      <c r="Z9" s="819"/>
      <c r="AA9" s="819"/>
      <c r="AB9" s="819">
        <f>AB10+AB11</f>
        <v>173.29381594962484</v>
      </c>
      <c r="AC9" s="819"/>
      <c r="AD9" s="819">
        <f>AD10+AD11</f>
        <v>2.017187105193384</v>
      </c>
      <c r="AE9" s="397"/>
      <c r="AF9" s="213">
        <f>B9/AD9</f>
        <v>44.60914881748352</v>
      </c>
      <c r="AG9" s="213"/>
      <c r="AH9" s="213"/>
      <c r="AI9" s="213"/>
      <c r="AJ9" s="213"/>
      <c r="AK9" s="213"/>
      <c r="AL9" s="213"/>
      <c r="AM9" s="213"/>
      <c r="AN9" s="213"/>
    </row>
    <row r="10" spans="1:32" s="14" customFormat="1" ht="12.75">
      <c r="A10" s="62" t="s">
        <v>54</v>
      </c>
      <c r="B10" s="265">
        <v>89.49524346525509</v>
      </c>
      <c r="C10" s="272"/>
      <c r="D10" s="272">
        <v>33.099999999999994</v>
      </c>
      <c r="E10" s="272"/>
      <c r="F10" s="272">
        <v>59.87231787825566</v>
      </c>
      <c r="G10" s="272"/>
      <c r="H10" s="272">
        <v>4.344564675303221</v>
      </c>
      <c r="I10" s="272"/>
      <c r="J10" s="272">
        <v>57.2711263054317</v>
      </c>
      <c r="K10" s="272"/>
      <c r="L10" s="272">
        <v>0</v>
      </c>
      <c r="M10" s="272"/>
      <c r="N10" s="272">
        <v>20</v>
      </c>
      <c r="O10" s="272"/>
      <c r="P10" s="184">
        <f>(1/100)*48.8052110142223</f>
        <v>0.48805211014222305</v>
      </c>
      <c r="Q10" s="272"/>
      <c r="R10" s="265">
        <v>45.816901044345364</v>
      </c>
      <c r="S10" s="265"/>
      <c r="T10" s="265">
        <v>2.0084121005740436</v>
      </c>
      <c r="U10" s="265"/>
      <c r="V10" s="265">
        <v>56.93747884522385</v>
      </c>
      <c r="W10" s="265"/>
      <c r="X10" s="265">
        <v>86</v>
      </c>
      <c r="Y10" s="265"/>
      <c r="Z10" s="265">
        <v>1</v>
      </c>
      <c r="AA10" s="265"/>
      <c r="AB10" s="265">
        <v>172.72344064936772</v>
      </c>
      <c r="AC10" s="265"/>
      <c r="AD10" s="265">
        <v>2.0084121005740436</v>
      </c>
      <c r="AF10" s="213">
        <f aca="true" t="shared" si="0" ref="AF10:AF18">B10/AD10</f>
        <v>44.560199293598956</v>
      </c>
    </row>
    <row r="11" spans="1:32" s="14" customFormat="1" ht="12.75">
      <c r="A11" s="62" t="s">
        <v>617</v>
      </c>
      <c r="B11" s="265">
        <v>0.4897563030253805</v>
      </c>
      <c r="C11" s="272"/>
      <c r="D11" s="272">
        <v>31.499999999999993</v>
      </c>
      <c r="E11" s="272"/>
      <c r="F11" s="272">
        <v>0.3354830675723856</v>
      </c>
      <c r="G11" s="272"/>
      <c r="H11" s="272">
        <v>25.41360048092742</v>
      </c>
      <c r="I11" s="272"/>
      <c r="J11" s="272">
        <v>0.2502247410983798</v>
      </c>
      <c r="K11" s="272"/>
      <c r="L11" s="272">
        <v>0</v>
      </c>
      <c r="M11" s="272"/>
      <c r="N11" s="272">
        <v>20</v>
      </c>
      <c r="O11" s="272"/>
      <c r="P11" s="184">
        <f>(1/100)*59.1266530635482</f>
        <v>0.591266530635482</v>
      </c>
      <c r="Q11" s="272"/>
      <c r="R11" s="265">
        <v>0.20017979287870377</v>
      </c>
      <c r="S11" s="265"/>
      <c r="T11" s="265">
        <v>0.008775004619340441</v>
      </c>
      <c r="U11" s="265"/>
      <c r="V11" s="265">
        <v>0.24876699345599182</v>
      </c>
      <c r="W11" s="265"/>
      <c r="X11" s="265">
        <v>65</v>
      </c>
      <c r="Y11" s="265"/>
      <c r="Z11" s="265">
        <v>1</v>
      </c>
      <c r="AA11" s="265"/>
      <c r="AB11" s="265">
        <v>0.5703753002571286</v>
      </c>
      <c r="AC11" s="265"/>
      <c r="AD11" s="265">
        <v>0.008775004619340441</v>
      </c>
      <c r="AF11" s="213">
        <f t="shared" si="0"/>
        <v>55.812654724527334</v>
      </c>
    </row>
    <row r="12" spans="1:32" s="14" customFormat="1" ht="12.75">
      <c r="A12" s="14" t="s">
        <v>55</v>
      </c>
      <c r="B12" s="265">
        <v>1.1411474763533414</v>
      </c>
      <c r="C12" s="272"/>
      <c r="D12" s="272">
        <v>34.199999999999996</v>
      </c>
      <c r="E12" s="272"/>
      <c r="F12" s="272">
        <v>0.7508750394404986</v>
      </c>
      <c r="G12" s="272"/>
      <c r="H12" s="272">
        <v>12.299537242304687</v>
      </c>
      <c r="I12" s="272"/>
      <c r="J12" s="272">
        <v>0.6585208843213445</v>
      </c>
      <c r="K12" s="272"/>
      <c r="L12" s="272">
        <v>0</v>
      </c>
      <c r="M12" s="272"/>
      <c r="N12" s="272">
        <v>20</v>
      </c>
      <c r="O12" s="272"/>
      <c r="P12" s="184">
        <f>(1/100)*53.8344764043492</f>
        <v>0.5383447640434921</v>
      </c>
      <c r="Q12" s="272"/>
      <c r="R12" s="265">
        <v>0.5268167074570755</v>
      </c>
      <c r="S12" s="265"/>
      <c r="T12" s="265">
        <v>0.02309333512140605</v>
      </c>
      <c r="U12" s="265"/>
      <c r="V12" s="265">
        <v>0.6546845040243008</v>
      </c>
      <c r="W12" s="265"/>
      <c r="X12" s="265">
        <v>86</v>
      </c>
      <c r="Y12" s="265"/>
      <c r="Z12" s="265">
        <v>1</v>
      </c>
      <c r="AA12" s="265"/>
      <c r="AB12" s="265">
        <v>1.9860268204409202</v>
      </c>
      <c r="AC12" s="265"/>
      <c r="AD12" s="265">
        <v>0.02309333512140605</v>
      </c>
      <c r="AF12" s="213">
        <f t="shared" si="0"/>
        <v>49.41458088899296</v>
      </c>
    </row>
    <row r="13" spans="1:32" s="14" customFormat="1" ht="12.75">
      <c r="A13" s="14" t="s">
        <v>56</v>
      </c>
      <c r="B13" s="265">
        <v>63.10675028578002</v>
      </c>
      <c r="C13" s="272"/>
      <c r="D13" s="272">
        <v>27.1</v>
      </c>
      <c r="E13" s="272"/>
      <c r="F13" s="272">
        <v>46.00482095833364</v>
      </c>
      <c r="G13" s="272"/>
      <c r="H13" s="272">
        <v>4.35660434682897</v>
      </c>
      <c r="I13" s="272"/>
      <c r="J13" s="272">
        <v>44.000572928711996</v>
      </c>
      <c r="K13" s="272"/>
      <c r="L13" s="272">
        <v>0</v>
      </c>
      <c r="M13" s="272"/>
      <c r="N13" s="272">
        <v>29</v>
      </c>
      <c r="O13" s="272"/>
      <c r="P13" s="184">
        <f>(1/100)*50.4959348438752</f>
        <v>0.504959348438752</v>
      </c>
      <c r="Q13" s="272"/>
      <c r="R13" s="265">
        <v>31.240406779385513</v>
      </c>
      <c r="S13" s="265"/>
      <c r="T13" s="265">
        <v>1.369442488959365</v>
      </c>
      <c r="U13" s="265"/>
      <c r="V13" s="265">
        <v>38.823009840753514</v>
      </c>
      <c r="W13" s="265"/>
      <c r="X13" s="265">
        <v>77</v>
      </c>
      <c r="Y13" s="265"/>
      <c r="Z13" s="265">
        <v>1</v>
      </c>
      <c r="AA13" s="265"/>
      <c r="AB13" s="265">
        <v>105.44707164987112</v>
      </c>
      <c r="AC13" s="265"/>
      <c r="AD13" s="265">
        <v>1.369442488959365</v>
      </c>
      <c r="AF13" s="213">
        <f t="shared" si="0"/>
        <v>46.08207412472987</v>
      </c>
    </row>
    <row r="14" spans="1:32" s="14" customFormat="1" ht="12.75">
      <c r="A14" s="14" t="s">
        <v>59</v>
      </c>
      <c r="B14" s="265">
        <v>32.639430186216714</v>
      </c>
      <c r="C14" s="272"/>
      <c r="D14" s="272">
        <v>1.5000000000000013</v>
      </c>
      <c r="E14" s="272"/>
      <c r="F14" s="272">
        <v>32.149838733423465</v>
      </c>
      <c r="G14" s="272"/>
      <c r="H14" s="272">
        <v>9</v>
      </c>
      <c r="I14" s="272"/>
      <c r="J14" s="272">
        <v>29.256353247415348</v>
      </c>
      <c r="K14" s="272"/>
      <c r="L14" s="272">
        <v>12</v>
      </c>
      <c r="M14" s="272"/>
      <c r="N14" s="272">
        <v>23</v>
      </c>
      <c r="O14" s="272"/>
      <c r="P14" s="184">
        <f>(1/100)*41.73725</f>
        <v>0.41737250000000004</v>
      </c>
      <c r="Q14" s="272"/>
      <c r="R14" s="265">
        <v>19.016629610819972</v>
      </c>
      <c r="S14" s="265"/>
      <c r="T14" s="265">
        <v>0.8336056815701907</v>
      </c>
      <c r="U14" s="265"/>
      <c r="V14" s="265">
        <v>23.632304269674115</v>
      </c>
      <c r="W14" s="265"/>
      <c r="X14" s="265">
        <v>72</v>
      </c>
      <c r="Y14" s="265"/>
      <c r="Z14" s="265">
        <v>50</v>
      </c>
      <c r="AA14" s="265"/>
      <c r="AB14" s="265">
        <v>34.030518148330735</v>
      </c>
      <c r="AC14" s="265"/>
      <c r="AD14" s="265">
        <v>0.47264608539348235</v>
      </c>
      <c r="AF14" s="213">
        <f t="shared" si="0"/>
        <v>69.05680845540925</v>
      </c>
    </row>
    <row r="15" spans="1:32" s="14" customFormat="1" ht="12.75">
      <c r="A15" s="14" t="s">
        <v>57</v>
      </c>
      <c r="B15" s="265">
        <v>97.51187031695562</v>
      </c>
      <c r="C15" s="272"/>
      <c r="D15" s="272">
        <v>39.800000000000004</v>
      </c>
      <c r="E15" s="272"/>
      <c r="F15" s="272">
        <v>58.702145930807276</v>
      </c>
      <c r="G15" s="272"/>
      <c r="H15" s="272">
        <v>3.971349721142257</v>
      </c>
      <c r="I15" s="272"/>
      <c r="J15" s="272">
        <v>56.37087842207965</v>
      </c>
      <c r="K15" s="272"/>
      <c r="L15" s="272">
        <v>0</v>
      </c>
      <c r="M15" s="272"/>
      <c r="N15" s="272">
        <v>15</v>
      </c>
      <c r="O15" s="272"/>
      <c r="P15" s="184">
        <f>(1/100)*50.8621396523085</f>
        <v>0.508621396523085</v>
      </c>
      <c r="Q15" s="272"/>
      <c r="R15" s="265">
        <v>47.91524665876769</v>
      </c>
      <c r="S15" s="265"/>
      <c r="T15" s="265">
        <v>2.100394374082968</v>
      </c>
      <c r="U15" s="265"/>
      <c r="V15" s="265">
        <v>59.54513030806508</v>
      </c>
      <c r="W15" s="265"/>
      <c r="X15" s="265">
        <v>66</v>
      </c>
      <c r="Y15" s="265"/>
      <c r="Z15" s="265">
        <v>1</v>
      </c>
      <c r="AA15" s="265"/>
      <c r="AB15" s="265">
        <v>138.62602868947587</v>
      </c>
      <c r="AC15" s="265"/>
      <c r="AD15" s="265">
        <v>2.100394374082968</v>
      </c>
      <c r="AF15" s="213">
        <f t="shared" si="0"/>
        <v>46.42550538135454</v>
      </c>
    </row>
    <row r="16" spans="1:32" s="14" customFormat="1" ht="12.75">
      <c r="A16" s="14" t="s">
        <v>58</v>
      </c>
      <c r="B16" s="265">
        <v>17.00901891923916</v>
      </c>
      <c r="C16" s="272"/>
      <c r="D16" s="272">
        <v>20.999999999999996</v>
      </c>
      <c r="E16" s="272"/>
      <c r="F16" s="272">
        <v>13.437124946198939</v>
      </c>
      <c r="G16" s="272"/>
      <c r="H16" s="272">
        <v>3.4610124286581168</v>
      </c>
      <c r="I16" s="272"/>
      <c r="J16" s="272">
        <v>12.972064381756672</v>
      </c>
      <c r="K16" s="272"/>
      <c r="L16" s="272">
        <v>0</v>
      </c>
      <c r="M16" s="272"/>
      <c r="N16" s="272">
        <v>35</v>
      </c>
      <c r="O16" s="272"/>
      <c r="P16" s="184">
        <f>(1/100)*50.4272298821159</f>
        <v>0.504272298821159</v>
      </c>
      <c r="Q16" s="272"/>
      <c r="R16" s="265">
        <v>8.431841848141834</v>
      </c>
      <c r="S16" s="265"/>
      <c r="T16" s="265">
        <v>0.3696149851240257</v>
      </c>
      <c r="U16" s="265"/>
      <c r="V16" s="265">
        <v>10.478400020773567</v>
      </c>
      <c r="W16" s="265"/>
      <c r="X16" s="265">
        <v>58</v>
      </c>
      <c r="Y16" s="265"/>
      <c r="Z16" s="265">
        <v>1</v>
      </c>
      <c r="AA16" s="265"/>
      <c r="AB16" s="265">
        <v>21.437669137193488</v>
      </c>
      <c r="AC16" s="265"/>
      <c r="AD16" s="265">
        <v>0.3696149851240257</v>
      </c>
      <c r="AF16" s="213">
        <f t="shared" si="0"/>
        <v>46.018207063579204</v>
      </c>
    </row>
    <row r="17" spans="1:32" s="14" customFormat="1" ht="12.75">
      <c r="A17" s="14" t="s">
        <v>618</v>
      </c>
      <c r="B17" s="265">
        <v>16.05558797982323</v>
      </c>
      <c r="C17" s="272"/>
      <c r="D17" s="272"/>
      <c r="E17" s="272"/>
      <c r="F17" s="272">
        <v>16.024033028076133</v>
      </c>
      <c r="G17" s="272"/>
      <c r="H17" s="272"/>
      <c r="I17" s="272"/>
      <c r="J17" s="272">
        <v>14.711698524607277</v>
      </c>
      <c r="K17" s="272"/>
      <c r="L17" s="272"/>
      <c r="M17" s="272"/>
      <c r="N17" s="272"/>
      <c r="O17" s="272"/>
      <c r="P17" s="184">
        <f>(1/100)*39.6112700715435</f>
        <v>0.39611270071543503</v>
      </c>
      <c r="Q17" s="272"/>
      <c r="R17" s="265">
        <v>9.695914682429416</v>
      </c>
      <c r="S17" s="265"/>
      <c r="T17" s="265">
        <v>0.4250263970380018</v>
      </c>
      <c r="U17" s="265"/>
      <c r="V17" s="265">
        <v>12.049285842828834</v>
      </c>
      <c r="W17" s="265"/>
      <c r="X17" s="265"/>
      <c r="Y17" s="265"/>
      <c r="Z17" s="265"/>
      <c r="AA17" s="265"/>
      <c r="AB17" s="265">
        <v>14.378720060282737</v>
      </c>
      <c r="AC17" s="265"/>
      <c r="AD17" s="265">
        <v>0.4250263970380018</v>
      </c>
      <c r="AF17" s="213">
        <f t="shared" si="0"/>
        <v>37.77550780778374</v>
      </c>
    </row>
    <row r="18" spans="1:32" s="14" customFormat="1" ht="12.75">
      <c r="A18" s="112" t="s">
        <v>889</v>
      </c>
      <c r="B18" s="821">
        <f>B9+SUM(B12:B17)</f>
        <v>317.44880493264856</v>
      </c>
      <c r="C18" s="203"/>
      <c r="D18" s="203"/>
      <c r="E18" s="203"/>
      <c r="F18" s="203"/>
      <c r="G18" s="203"/>
      <c r="H18" s="203"/>
      <c r="I18" s="203"/>
      <c r="J18" s="203"/>
      <c r="K18" s="203"/>
      <c r="L18" s="203"/>
      <c r="M18" s="203"/>
      <c r="N18" s="203"/>
      <c r="O18" s="203"/>
      <c r="P18" s="822">
        <f>1-(R18/B18)</f>
        <v>0.4870229952235122</v>
      </c>
      <c r="Q18" s="203"/>
      <c r="R18" s="821">
        <f>R9+SUM(R12:R17)</f>
        <v>162.8439371242256</v>
      </c>
      <c r="S18" s="821"/>
      <c r="T18" s="821">
        <f>T9+SUM(T12:T17)</f>
        <v>7.138364367089341</v>
      </c>
      <c r="U18" s="821"/>
      <c r="V18" s="821">
        <f>V9+SUM(V12:V17)</f>
        <v>202.36906062479923</v>
      </c>
      <c r="W18" s="821"/>
      <c r="X18" s="821"/>
      <c r="Y18" s="821"/>
      <c r="Z18" s="821"/>
      <c r="AA18" s="821"/>
      <c r="AB18" s="821">
        <f>AB9+SUM(AB12:AB17)</f>
        <v>489.1998504552197</v>
      </c>
      <c r="AC18" s="821"/>
      <c r="AD18" s="821">
        <f>AD9+SUM(AD12:AD17)</f>
        <v>6.777404770912632</v>
      </c>
      <c r="AF18" s="809">
        <f t="shared" si="0"/>
        <v>46.83928666841327</v>
      </c>
    </row>
    <row r="19" spans="1:32" s="14" customFormat="1" ht="12.75">
      <c r="A19" s="19"/>
      <c r="C19" s="244"/>
      <c r="D19" s="244"/>
      <c r="E19" s="244"/>
      <c r="F19" s="244"/>
      <c r="G19" s="244"/>
      <c r="H19" s="244"/>
      <c r="I19" s="244"/>
      <c r="J19" s="244"/>
      <c r="K19" s="244"/>
      <c r="L19" s="244"/>
      <c r="M19" s="244"/>
      <c r="N19" s="244"/>
      <c r="O19" s="244"/>
      <c r="P19" s="165"/>
      <c r="Q19" s="244"/>
      <c r="R19" s="383"/>
      <c r="S19" s="383"/>
      <c r="T19" s="383"/>
      <c r="U19" s="383"/>
      <c r="V19" s="383"/>
      <c r="W19" s="383"/>
      <c r="X19" s="383"/>
      <c r="Y19" s="383"/>
      <c r="Z19" s="383"/>
      <c r="AA19" s="383"/>
      <c r="AB19" s="383"/>
      <c r="AC19" s="383"/>
      <c r="AD19" s="383"/>
      <c r="AF19" s="176"/>
    </row>
    <row r="20" spans="2:35" s="14" customFormat="1" ht="12.75">
      <c r="B20" s="272"/>
      <c r="C20" s="272"/>
      <c r="D20" s="272"/>
      <c r="E20" s="272"/>
      <c r="F20" s="272"/>
      <c r="G20" s="272"/>
      <c r="H20" s="272"/>
      <c r="I20" s="272"/>
      <c r="J20" s="272"/>
      <c r="K20" s="272"/>
      <c r="L20" s="272"/>
      <c r="M20" s="272"/>
      <c r="N20" s="272"/>
      <c r="O20" s="272"/>
      <c r="P20" s="184"/>
      <c r="Q20" s="272"/>
      <c r="R20" s="272"/>
      <c r="S20" s="272"/>
      <c r="T20" s="272"/>
      <c r="U20" s="272"/>
      <c r="V20" s="272"/>
      <c r="W20" s="272"/>
      <c r="X20" s="272"/>
      <c r="Y20" s="272"/>
      <c r="Z20" s="272"/>
      <c r="AA20" s="272"/>
      <c r="AB20" s="272"/>
      <c r="AC20" s="272"/>
      <c r="AD20" s="272"/>
      <c r="AH20" s="754" t="s">
        <v>391</v>
      </c>
      <c r="AI20" s="14" t="s">
        <v>890</v>
      </c>
    </row>
    <row r="21" spans="1:35" s="14" customFormat="1" ht="12.75">
      <c r="A21" s="62" t="s">
        <v>620</v>
      </c>
      <c r="B21" s="272">
        <v>1.321270701599696</v>
      </c>
      <c r="C21" s="272"/>
      <c r="D21" s="272">
        <v>0.2</v>
      </c>
      <c r="E21" s="272"/>
      <c r="F21" s="272">
        <v>1.3180587942832225</v>
      </c>
      <c r="G21" s="272"/>
      <c r="H21" s="272">
        <v>6</v>
      </c>
      <c r="I21" s="272"/>
      <c r="J21" s="272">
        <v>1.238975266626229</v>
      </c>
      <c r="K21" s="272"/>
      <c r="L21" s="272">
        <v>0</v>
      </c>
      <c r="M21" s="272"/>
      <c r="N21" s="272">
        <v>21</v>
      </c>
      <c r="O21" s="272"/>
      <c r="P21" s="184">
        <f>(1/100)*25.88852</f>
        <v>0.2588852</v>
      </c>
      <c r="Q21" s="272"/>
      <c r="R21" s="272">
        <v>0.9787904606347209</v>
      </c>
      <c r="S21" s="272"/>
      <c r="T21" s="272">
        <v>0.04290588320590557</v>
      </c>
      <c r="U21" s="272"/>
      <c r="V21" s="272">
        <v>1.21636033594582</v>
      </c>
      <c r="W21" s="272"/>
      <c r="X21" s="272">
        <v>82</v>
      </c>
      <c r="Y21" s="272"/>
      <c r="Z21" s="272">
        <v>0.5</v>
      </c>
      <c r="AA21" s="272"/>
      <c r="AB21" s="272">
        <v>7.036564845768515</v>
      </c>
      <c r="AC21" s="272"/>
      <c r="AD21" s="272">
        <v>0.08581176641181114</v>
      </c>
      <c r="AF21" s="213">
        <f aca="true" t="shared" si="1" ref="AF21:AF30">B21/AD21</f>
        <v>15.397313874870152</v>
      </c>
      <c r="AH21" s="14">
        <f>Nuts!D20</f>
        <v>14.01</v>
      </c>
      <c r="AI21" s="176">
        <f>T21*AH21</f>
        <v>0.601111423714737</v>
      </c>
    </row>
    <row r="22" spans="1:35" s="14" customFormat="1" ht="12.75">
      <c r="A22" s="62" t="s">
        <v>622</v>
      </c>
      <c r="B22" s="272">
        <v>0.46382079129137754</v>
      </c>
      <c r="C22" s="272"/>
      <c r="D22" s="272">
        <v>0.2</v>
      </c>
      <c r="E22" s="272"/>
      <c r="F22" s="272">
        <v>0.46288965916073865</v>
      </c>
      <c r="G22" s="272"/>
      <c r="H22" s="272">
        <v>6</v>
      </c>
      <c r="I22" s="272"/>
      <c r="J22" s="272">
        <v>0.4351162796110943</v>
      </c>
      <c r="K22" s="272"/>
      <c r="L22" s="272">
        <v>0</v>
      </c>
      <c r="M22" s="272"/>
      <c r="N22" s="272">
        <v>14</v>
      </c>
      <c r="O22" s="272"/>
      <c r="P22" s="184">
        <f>(1/100)*19.32168</f>
        <v>0.19321680000000002</v>
      </c>
      <c r="Q22" s="272"/>
      <c r="R22" s="272">
        <v>0.37420000046554114</v>
      </c>
      <c r="S22" s="272"/>
      <c r="T22" s="272">
        <v>0.016403287691640157</v>
      </c>
      <c r="U22" s="272"/>
      <c r="V22" s="272">
        <v>0.4650250044141527</v>
      </c>
      <c r="W22" s="272"/>
      <c r="X22" s="272">
        <v>98</v>
      </c>
      <c r="Y22" s="272"/>
      <c r="Z22" s="272">
        <v>0.5</v>
      </c>
      <c r="AA22" s="272"/>
      <c r="AB22" s="272">
        <v>3.215044387561471</v>
      </c>
      <c r="AC22" s="272"/>
      <c r="AD22" s="272">
        <v>0.032806575383280315</v>
      </c>
      <c r="AF22" s="213">
        <f t="shared" si="1"/>
        <v>14.138043543787907</v>
      </c>
      <c r="AH22" s="14">
        <f>Nuts!D22</f>
        <v>20.4</v>
      </c>
      <c r="AI22" s="176">
        <f aca="true" t="shared" si="2" ref="AI22:AI27">T22*AH22</f>
        <v>0.3346270689094592</v>
      </c>
    </row>
    <row r="23" spans="1:35" s="14" customFormat="1" ht="12.75">
      <c r="A23" s="62" t="s">
        <v>623</v>
      </c>
      <c r="B23" s="272">
        <v>0.5024233096421689</v>
      </c>
      <c r="C23" s="272"/>
      <c r="D23" s="272">
        <v>0.2</v>
      </c>
      <c r="E23" s="272"/>
      <c r="F23" s="272">
        <v>0.5015415530478895</v>
      </c>
      <c r="G23" s="272"/>
      <c r="H23" s="272">
        <v>6</v>
      </c>
      <c r="I23" s="272"/>
      <c r="J23" s="272">
        <v>0.4714490598650163</v>
      </c>
      <c r="K23" s="272"/>
      <c r="L23" s="272">
        <v>0</v>
      </c>
      <c r="M23" s="272"/>
      <c r="N23" s="272">
        <v>18</v>
      </c>
      <c r="O23" s="272"/>
      <c r="P23" s="184">
        <f>(1/100)*23.07416</f>
        <v>0.2307416</v>
      </c>
      <c r="Q23" s="272"/>
      <c r="R23" s="272">
        <v>0.3865882290893133</v>
      </c>
      <c r="S23" s="272"/>
      <c r="T23" s="272">
        <v>0.016946333329942498</v>
      </c>
      <c r="U23" s="272"/>
      <c r="V23" s="272">
        <v>0.48042007673720494</v>
      </c>
      <c r="W23" s="272"/>
      <c r="X23" s="272">
        <v>93</v>
      </c>
      <c r="Y23" s="272"/>
      <c r="Z23" s="272">
        <v>0.5</v>
      </c>
      <c r="AA23" s="272"/>
      <c r="AB23" s="272">
        <v>3.1520179993693054</v>
      </c>
      <c r="AC23" s="272"/>
      <c r="AD23" s="272">
        <v>0.033892666659884996</v>
      </c>
      <c r="AF23" s="213">
        <f t="shared" si="1"/>
        <v>14.823953354984363</v>
      </c>
      <c r="AH23" s="14">
        <f>Nuts!D21</f>
        <v>18.49</v>
      </c>
      <c r="AI23" s="176">
        <f t="shared" si="2"/>
        <v>0.31333770327063676</v>
      </c>
    </row>
    <row r="24" spans="1:35" s="14" customFormat="1" ht="12.75">
      <c r="A24" s="62" t="s">
        <v>621</v>
      </c>
      <c r="B24" s="272">
        <v>0.05387788327521838</v>
      </c>
      <c r="C24" s="272"/>
      <c r="D24" s="272">
        <v>0.2</v>
      </c>
      <c r="E24" s="272"/>
      <c r="F24" s="272">
        <v>0.053777666089617725</v>
      </c>
      <c r="G24" s="272"/>
      <c r="H24" s="272">
        <v>6</v>
      </c>
      <c r="I24" s="272"/>
      <c r="J24" s="272">
        <v>0.05055100612424066</v>
      </c>
      <c r="K24" s="272"/>
      <c r="L24" s="272">
        <v>0</v>
      </c>
      <c r="M24" s="272"/>
      <c r="N24" s="272">
        <v>20</v>
      </c>
      <c r="O24" s="272"/>
      <c r="P24" s="184">
        <f>(1/100)*24.9504</f>
        <v>0.24950399999999998</v>
      </c>
      <c r="Q24" s="272"/>
      <c r="R24" s="272">
        <v>0.040440804899392536</v>
      </c>
      <c r="S24" s="272"/>
      <c r="T24" s="823">
        <v>0.0017727476120281659</v>
      </c>
      <c r="U24" s="272"/>
      <c r="V24" s="823">
        <v>0.050256508427192495</v>
      </c>
      <c r="W24" s="272"/>
      <c r="X24" s="272">
        <v>89</v>
      </c>
      <c r="Y24" s="272"/>
      <c r="Z24" s="272">
        <v>0.5</v>
      </c>
      <c r="AA24" s="272"/>
      <c r="AB24" s="272">
        <v>0.31554907494101353</v>
      </c>
      <c r="AC24" s="272"/>
      <c r="AD24" s="823">
        <v>0.0035454952240563317</v>
      </c>
      <c r="AF24" s="213">
        <f t="shared" si="1"/>
        <v>15.196151699670814</v>
      </c>
      <c r="AH24" s="14">
        <f>Nuts!D23</f>
        <v>17.22</v>
      </c>
      <c r="AI24" s="176">
        <f t="shared" si="2"/>
        <v>0.030526713879125013</v>
      </c>
    </row>
    <row r="25" spans="1:35" s="14" customFormat="1" ht="12.75">
      <c r="A25" s="62" t="s">
        <v>624</v>
      </c>
      <c r="B25" s="272">
        <v>0.11065521729317943</v>
      </c>
      <c r="C25" s="272"/>
      <c r="D25" s="272">
        <v>0.2</v>
      </c>
      <c r="E25" s="272"/>
      <c r="F25" s="272">
        <v>0.11043935633784285</v>
      </c>
      <c r="G25" s="272"/>
      <c r="H25" s="272">
        <v>6</v>
      </c>
      <c r="I25" s="272"/>
      <c r="J25" s="272">
        <v>0.10381299495757228</v>
      </c>
      <c r="K25" s="272"/>
      <c r="L25" s="272">
        <v>0</v>
      </c>
      <c r="M25" s="272"/>
      <c r="N25" s="272">
        <v>8</v>
      </c>
      <c r="O25" s="272"/>
      <c r="P25" s="184">
        <f>(1/100)*13.69296</f>
        <v>0.13692959999999998</v>
      </c>
      <c r="Q25" s="272"/>
      <c r="R25" s="272">
        <v>0.09550795536096648</v>
      </c>
      <c r="S25" s="272"/>
      <c r="T25" s="823">
        <v>0.0041866500980149695</v>
      </c>
      <c r="U25" s="272"/>
      <c r="V25" s="272">
        <v>0.11868943695367537</v>
      </c>
      <c r="W25" s="272"/>
      <c r="X25" s="272">
        <v>102</v>
      </c>
      <c r="Y25" s="272"/>
      <c r="Z25" s="272">
        <v>0.5</v>
      </c>
      <c r="AA25" s="272"/>
      <c r="AB25" s="272">
        <v>0.8540766199950538</v>
      </c>
      <c r="AC25" s="272"/>
      <c r="AD25" s="272">
        <v>0.008373300196029939</v>
      </c>
      <c r="AF25" s="213">
        <f t="shared" si="1"/>
        <v>13.215245447146962</v>
      </c>
      <c r="AH25" s="14">
        <v>21.57</v>
      </c>
      <c r="AI25" s="176">
        <f t="shared" si="2"/>
        <v>0.09030604261418289</v>
      </c>
    </row>
    <row r="26" spans="1:35" s="14" customFormat="1" ht="12.75">
      <c r="A26" s="62" t="s">
        <v>625</v>
      </c>
      <c r="B26" s="272">
        <v>0.19760235286448768</v>
      </c>
      <c r="C26" s="272"/>
      <c r="D26" s="272">
        <v>0.2</v>
      </c>
      <c r="E26" s="272"/>
      <c r="F26" s="272">
        <v>0.19686780231349027</v>
      </c>
      <c r="G26" s="272"/>
      <c r="H26" s="272">
        <v>6</v>
      </c>
      <c r="I26" s="272"/>
      <c r="J26" s="272">
        <v>0.18505573417468085</v>
      </c>
      <c r="K26" s="272"/>
      <c r="L26" s="272">
        <v>0</v>
      </c>
      <c r="M26" s="272"/>
      <c r="N26" s="272">
        <v>16</v>
      </c>
      <c r="O26" s="272"/>
      <c r="P26" s="184">
        <f>(1/100)*21.19792</f>
        <v>0.2119792</v>
      </c>
      <c r="Q26" s="272"/>
      <c r="R26" s="272">
        <v>0.1554468167067319</v>
      </c>
      <c r="S26" s="272"/>
      <c r="T26" s="272">
        <v>0.006814107033719756</v>
      </c>
      <c r="U26" s="272"/>
      <c r="V26" s="272">
        <v>0.19317652735243823</v>
      </c>
      <c r="W26" s="272"/>
      <c r="X26" s="272">
        <v>79</v>
      </c>
      <c r="Y26" s="272"/>
      <c r="Z26" s="272">
        <v>0.5</v>
      </c>
      <c r="AA26" s="272"/>
      <c r="AB26" s="272">
        <v>1.0766289113277214</v>
      </c>
      <c r="AC26" s="272"/>
      <c r="AD26" s="272">
        <v>0.013628214067439512</v>
      </c>
      <c r="AF26" s="213">
        <f t="shared" si="1"/>
        <v>14.49950462229667</v>
      </c>
      <c r="AH26" s="14">
        <v>2.71</v>
      </c>
      <c r="AI26" s="176">
        <f t="shared" si="2"/>
        <v>0.01846623006138054</v>
      </c>
    </row>
    <row r="27" spans="1:37" s="14" customFormat="1" ht="12.75">
      <c r="A27" s="825" t="s">
        <v>626</v>
      </c>
      <c r="B27" s="826">
        <v>0.9831264750645824</v>
      </c>
      <c r="C27" s="826"/>
      <c r="D27" s="826">
        <v>0.2</v>
      </c>
      <c r="E27" s="826"/>
      <c r="F27" s="826">
        <v>0.981257630277011</v>
      </c>
      <c r="G27" s="826"/>
      <c r="H27" s="826">
        <v>6</v>
      </c>
      <c r="I27" s="826"/>
      <c r="J27" s="826">
        <v>0.9223821724603901</v>
      </c>
      <c r="K27" s="826"/>
      <c r="L27" s="826">
        <v>0</v>
      </c>
      <c r="M27" s="826"/>
      <c r="N27" s="826">
        <v>18</v>
      </c>
      <c r="O27" s="826"/>
      <c r="P27" s="827">
        <f>(1/100)*23.07416</f>
        <v>0.2307416</v>
      </c>
      <c r="Q27" s="826"/>
      <c r="R27" s="826">
        <v>0.7563533814175198</v>
      </c>
      <c r="S27" s="826"/>
      <c r="T27" s="826">
        <v>0.03315521671967211</v>
      </c>
      <c r="U27" s="826"/>
      <c r="V27" s="826">
        <v>0.9399338163943444</v>
      </c>
      <c r="W27" s="826"/>
      <c r="X27" s="826">
        <v>90</v>
      </c>
      <c r="Y27" s="826"/>
      <c r="Z27" s="826">
        <v>0.5</v>
      </c>
      <c r="AA27" s="826"/>
      <c r="AB27" s="826">
        <v>5.96793900954098</v>
      </c>
      <c r="AC27" s="826"/>
      <c r="AD27" s="826">
        <v>0.06631043343934422</v>
      </c>
      <c r="AE27" s="828"/>
      <c r="AF27" s="829">
        <f t="shared" si="1"/>
        <v>14.826120477162503</v>
      </c>
      <c r="AH27" s="272">
        <f>AVERAGE(13.14,((5.88/8.6)*28.35),18.83)</f>
        <v>17.11782945736434</v>
      </c>
      <c r="AI27" s="176">
        <f t="shared" si="2"/>
        <v>0.5675453454293019</v>
      </c>
      <c r="AK27" s="177"/>
    </row>
    <row r="28" spans="1:35" s="14" customFormat="1" ht="12.75">
      <c r="A28" s="14" t="s">
        <v>619</v>
      </c>
      <c r="B28" s="272">
        <v>3.6327767310307104</v>
      </c>
      <c r="C28" s="272"/>
      <c r="D28" s="272"/>
      <c r="E28" s="272"/>
      <c r="F28" s="272">
        <v>3.624832461509812</v>
      </c>
      <c r="G28" s="272"/>
      <c r="H28" s="272"/>
      <c r="I28" s="272"/>
      <c r="J28" s="272">
        <v>3.4073425138192235</v>
      </c>
      <c r="K28" s="272"/>
      <c r="L28" s="272"/>
      <c r="M28" s="272"/>
      <c r="N28" s="272"/>
      <c r="O28" s="272"/>
      <c r="P28" s="184">
        <f>(1/100)*23.2520779109347</f>
        <v>0.23252077910934701</v>
      </c>
      <c r="Q28" s="272"/>
      <c r="R28" s="272">
        <v>2.787327648574186</v>
      </c>
      <c r="S28" s="272"/>
      <c r="T28" s="272">
        <v>0.12218422569092321</v>
      </c>
      <c r="U28" s="272"/>
      <c r="V28" s="272">
        <v>3.463861706224828</v>
      </c>
      <c r="W28" s="272"/>
      <c r="X28" s="272"/>
      <c r="Y28" s="272"/>
      <c r="Z28" s="272"/>
      <c r="AA28" s="272"/>
      <c r="AB28" s="272">
        <v>21.61782084850406</v>
      </c>
      <c r="AC28" s="272"/>
      <c r="AD28" s="272">
        <v>0.24436845138184643</v>
      </c>
      <c r="AF28" s="213">
        <f>B28/AD28</f>
        <v>14.865980900923207</v>
      </c>
      <c r="AG28" s="830"/>
      <c r="AH28" s="830"/>
      <c r="AI28" s="831">
        <f>SUM(AI21:AI27)</f>
        <v>1.9559205278788232</v>
      </c>
    </row>
    <row r="29" spans="1:37" s="14" customFormat="1" ht="12.75">
      <c r="A29" s="14" t="s">
        <v>61</v>
      </c>
      <c r="B29" s="272">
        <v>6.542217286209995</v>
      </c>
      <c r="C29" s="272"/>
      <c r="D29" s="272">
        <v>0.2</v>
      </c>
      <c r="E29" s="272"/>
      <c r="F29" s="272">
        <v>6.528329353029287</v>
      </c>
      <c r="G29" s="272"/>
      <c r="H29" s="272">
        <v>6</v>
      </c>
      <c r="I29" s="272"/>
      <c r="J29" s="272">
        <v>6.136629591847528</v>
      </c>
      <c r="K29" s="272"/>
      <c r="L29" s="272">
        <v>0</v>
      </c>
      <c r="M29" s="272"/>
      <c r="N29" s="272">
        <v>4</v>
      </c>
      <c r="O29" s="272"/>
      <c r="P29" s="184">
        <f>(1/100)*9.94048</f>
        <v>0.09940480000000002</v>
      </c>
      <c r="Q29" s="272"/>
      <c r="R29" s="272">
        <v>5.891164408173627</v>
      </c>
      <c r="S29" s="272"/>
      <c r="T29" s="272">
        <v>0.25824282337199456</v>
      </c>
      <c r="U29" s="272"/>
      <c r="V29" s="272">
        <v>7.321054921184361</v>
      </c>
      <c r="W29" s="272"/>
      <c r="X29" s="272">
        <v>80</v>
      </c>
      <c r="Y29" s="272"/>
      <c r="Z29" s="272">
        <v>0.5</v>
      </c>
      <c r="AA29" s="272"/>
      <c r="AB29" s="272">
        <v>41.31885173951914</v>
      </c>
      <c r="AC29" s="272"/>
      <c r="AD29" s="272">
        <v>0.5164856467439891</v>
      </c>
      <c r="AF29" s="213">
        <f>B29/AD29</f>
        <v>12.666793990216794</v>
      </c>
      <c r="AG29" s="52"/>
      <c r="AH29" s="52">
        <v>14.08</v>
      </c>
      <c r="AI29" s="832">
        <f>AH29*T29</f>
        <v>3.6360589530776832</v>
      </c>
      <c r="AK29" s="166"/>
    </row>
    <row r="30" spans="1:35" s="14" customFormat="1" ht="12.75">
      <c r="A30" s="824" t="s">
        <v>891</v>
      </c>
      <c r="B30" s="203">
        <f>B28+B29</f>
        <v>10.174994017240707</v>
      </c>
      <c r="C30" s="203"/>
      <c r="D30" s="203"/>
      <c r="E30" s="203"/>
      <c r="F30" s="203"/>
      <c r="G30" s="203"/>
      <c r="H30" s="203"/>
      <c r="I30" s="203"/>
      <c r="J30" s="203"/>
      <c r="K30" s="203"/>
      <c r="L30" s="203"/>
      <c r="M30" s="203"/>
      <c r="N30" s="203"/>
      <c r="O30" s="203"/>
      <c r="P30" s="822">
        <f>1-(R30/B30)</f>
        <v>0.1470764462325178</v>
      </c>
      <c r="Q30" s="203"/>
      <c r="R30" s="203">
        <f>R28+R29</f>
        <v>8.678492056747814</v>
      </c>
      <c r="S30" s="203"/>
      <c r="T30" s="203">
        <f>T28+T29</f>
        <v>0.3804270490629178</v>
      </c>
      <c r="U30" s="203"/>
      <c r="V30" s="203">
        <f>V28+V29</f>
        <v>10.784916627409189</v>
      </c>
      <c r="W30" s="203"/>
      <c r="X30" s="203"/>
      <c r="Y30" s="203"/>
      <c r="Z30" s="203"/>
      <c r="AA30" s="203"/>
      <c r="AB30" s="203">
        <f>AB28+AB29</f>
        <v>62.9366725880232</v>
      </c>
      <c r="AC30" s="203"/>
      <c r="AD30" s="203">
        <f>AD28+AD29</f>
        <v>0.7608540981258356</v>
      </c>
      <c r="AF30" s="809">
        <f t="shared" si="1"/>
        <v>13.373121130981794</v>
      </c>
      <c r="AG30" s="176"/>
      <c r="AI30" s="176">
        <f>AI29+AI28</f>
        <v>5.591979480956507</v>
      </c>
    </row>
  </sheetData>
  <sheetProtection/>
  <mergeCells count="31">
    <mergeCell ref="AD4:AE7"/>
    <mergeCell ref="N8:O8"/>
    <mergeCell ref="AF4:AF7"/>
    <mergeCell ref="AB8:AC8"/>
    <mergeCell ref="AD8:AE8"/>
    <mergeCell ref="P8:Q8"/>
    <mergeCell ref="R8:S8"/>
    <mergeCell ref="T8:U8"/>
    <mergeCell ref="V8:W8"/>
    <mergeCell ref="X8:Y8"/>
    <mergeCell ref="Z8:AA8"/>
    <mergeCell ref="B8:C8"/>
    <mergeCell ref="D8:E8"/>
    <mergeCell ref="F8:G8"/>
    <mergeCell ref="H8:I8"/>
    <mergeCell ref="J8:K8"/>
    <mergeCell ref="L8:M8"/>
    <mergeCell ref="L4:O4"/>
    <mergeCell ref="P4:Q7"/>
    <mergeCell ref="R4:W7"/>
    <mergeCell ref="X4:Y7"/>
    <mergeCell ref="Z4:AA7"/>
    <mergeCell ref="AB4:AC7"/>
    <mergeCell ref="L5:M7"/>
    <mergeCell ref="N5:O7"/>
    <mergeCell ref="A4:A7"/>
    <mergeCell ref="B4:C7"/>
    <mergeCell ref="D4:E7"/>
    <mergeCell ref="F4:G7"/>
    <mergeCell ref="H4:I7"/>
    <mergeCell ref="J4:K7"/>
  </mergeCell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A1:O32"/>
  <sheetViews>
    <sheetView zoomScalePageLayoutView="0" workbookViewId="0" topLeftCell="A2">
      <selection activeCell="M16" sqref="M16"/>
    </sheetView>
  </sheetViews>
  <sheetFormatPr defaultColWidth="8.8515625" defaultRowHeight="12.75"/>
  <cols>
    <col min="1" max="1" width="26.8515625" style="0" customWidth="1"/>
    <col min="2" max="2" width="10.421875" style="0" customWidth="1"/>
    <col min="3" max="3" width="14.28125" style="0" customWidth="1"/>
    <col min="4" max="4" width="10.140625" style="0" customWidth="1"/>
    <col min="5" max="5" width="10.421875" style="0" customWidth="1"/>
    <col min="6" max="6" width="12.8515625" style="0" customWidth="1"/>
    <col min="7" max="7" width="15.421875" style="0" customWidth="1"/>
    <col min="8" max="8" width="10.421875" style="0" customWidth="1"/>
    <col min="9" max="9" width="15.7109375" style="0" customWidth="1"/>
    <col min="10" max="10" width="14.140625" style="0" customWidth="1"/>
    <col min="11" max="11" width="14.421875" style="0" customWidth="1"/>
    <col min="12" max="12" width="11.140625" style="0" customWidth="1"/>
    <col min="13" max="13" width="28.00390625" style="0" customWidth="1"/>
    <col min="14" max="14" width="14.00390625" style="0" bestFit="1" customWidth="1"/>
  </cols>
  <sheetData>
    <row r="1" s="17" customFormat="1" ht="15.75">
      <c r="A1" s="114" t="s">
        <v>273</v>
      </c>
    </row>
    <row r="2" s="17" customFormat="1" ht="14.25" customHeight="1">
      <c r="A2" s="14" t="s">
        <v>808</v>
      </c>
    </row>
    <row r="3" s="17" customFormat="1" ht="14.25" customHeight="1">
      <c r="A3" s="14"/>
    </row>
    <row r="4" spans="1:8" s="17" customFormat="1" ht="12.75">
      <c r="A4" s="170" t="s">
        <v>108</v>
      </c>
      <c r="C4" s="17">
        <v>17000000</v>
      </c>
      <c r="H4" s="16"/>
    </row>
    <row r="5" spans="1:13" s="17" customFormat="1" ht="12.75">
      <c r="A5" s="170" t="s">
        <v>201</v>
      </c>
      <c r="B5" s="17" t="s">
        <v>32</v>
      </c>
      <c r="C5" s="654">
        <v>600000</v>
      </c>
      <c r="H5" s="37"/>
      <c r="I5" s="37"/>
      <c r="J5" s="734"/>
      <c r="K5" s="37"/>
      <c r="L5" s="37"/>
      <c r="M5" s="37"/>
    </row>
    <row r="6" spans="1:13" s="17" customFormat="1" ht="12.75">
      <c r="A6" s="170" t="s">
        <v>34</v>
      </c>
      <c r="B6" s="17" t="s">
        <v>35</v>
      </c>
      <c r="C6" s="654">
        <v>14000</v>
      </c>
      <c r="D6" s="170" t="s">
        <v>1049</v>
      </c>
      <c r="H6" s="37"/>
      <c r="I6" s="37"/>
      <c r="J6" s="37"/>
      <c r="K6" s="37"/>
      <c r="L6" s="37"/>
      <c r="M6" s="19"/>
    </row>
    <row r="7" spans="1:13" s="17" customFormat="1" ht="12.75">
      <c r="A7" s="170" t="s">
        <v>40</v>
      </c>
      <c r="B7" s="17" t="s">
        <v>41</v>
      </c>
      <c r="C7" s="735">
        <v>0.04</v>
      </c>
      <c r="H7" s="37"/>
      <c r="I7" s="347"/>
      <c r="J7" s="383"/>
      <c r="K7" s="383"/>
      <c r="L7" s="37"/>
      <c r="M7" s="19"/>
    </row>
    <row r="8" spans="1:13" s="17" customFormat="1" ht="12.75">
      <c r="A8" s="736" t="s">
        <v>848</v>
      </c>
      <c r="B8" s="190" t="s">
        <v>35</v>
      </c>
      <c r="C8" s="737">
        <f>C5*C6</f>
        <v>8400000000</v>
      </c>
      <c r="H8" s="383"/>
      <c r="I8" s="738"/>
      <c r="J8" s="37"/>
      <c r="K8" s="739"/>
      <c r="L8" s="383"/>
      <c r="M8" s="383"/>
    </row>
    <row r="9" spans="8:13" ht="12.75">
      <c r="H9" s="4"/>
      <c r="I9" s="4"/>
      <c r="J9" s="4"/>
      <c r="K9" s="4"/>
      <c r="L9" s="4"/>
      <c r="M9" s="4"/>
    </row>
    <row r="11" spans="2:13" s="711" customFormat="1" ht="41.25" customHeight="1">
      <c r="B11" s="1238" t="s">
        <v>849</v>
      </c>
      <c r="C11" s="1238"/>
      <c r="D11" s="1241" t="s">
        <v>850</v>
      </c>
      <c r="E11" s="1270"/>
      <c r="F11" s="1242"/>
      <c r="G11" s="655" t="s">
        <v>851</v>
      </c>
      <c r="H11" s="655" t="s">
        <v>852</v>
      </c>
      <c r="I11" s="655" t="s">
        <v>853</v>
      </c>
      <c r="J11" s="655" t="s">
        <v>48</v>
      </c>
      <c r="K11" s="655" t="s">
        <v>854</v>
      </c>
      <c r="L11" s="655" t="s">
        <v>839</v>
      </c>
      <c r="M11" s="708"/>
    </row>
    <row r="12" spans="2:13" s="563" customFormat="1" ht="12">
      <c r="B12" s="740" t="s">
        <v>408</v>
      </c>
      <c r="C12" s="740" t="s">
        <v>73</v>
      </c>
      <c r="D12" s="740" t="s">
        <v>408</v>
      </c>
      <c r="E12" s="740" t="s">
        <v>73</v>
      </c>
      <c r="F12" s="740" t="s">
        <v>377</v>
      </c>
      <c r="G12" s="740" t="s">
        <v>186</v>
      </c>
      <c r="H12" s="740" t="s">
        <v>192</v>
      </c>
      <c r="I12" s="740" t="s">
        <v>35</v>
      </c>
      <c r="J12" s="658" t="s">
        <v>35</v>
      </c>
      <c r="K12" s="658" t="s">
        <v>35</v>
      </c>
      <c r="L12" s="740" t="s">
        <v>842</v>
      </c>
      <c r="M12" s="711"/>
    </row>
    <row r="13" spans="1:13" ht="12.75">
      <c r="A13" s="162" t="s">
        <v>855</v>
      </c>
      <c r="B13" s="765">
        <f>DairyCurrent!AF10-DairyCurrent!AF20-DairyCurrent!AF19</f>
        <v>0.6136774097951916</v>
      </c>
      <c r="C13" s="741">
        <f aca="true" t="shared" si="0" ref="C13:C19">B13*7</f>
        <v>4.295741868566341</v>
      </c>
      <c r="D13" s="256">
        <v>1</v>
      </c>
      <c r="E13" s="741">
        <f aca="true" t="shared" si="1" ref="E13:E18">D13*7</f>
        <v>7</v>
      </c>
      <c r="F13" s="767">
        <f>D13*DairyCurrent!AB14*0.01</f>
        <v>2.44</v>
      </c>
      <c r="G13" s="775">
        <f>DairyCurrent!AJ11</f>
        <v>279.0881618828845</v>
      </c>
      <c r="H13" s="257">
        <f>G13*D13</f>
        <v>279.0881618828845</v>
      </c>
      <c r="I13" s="257">
        <f>H13*C4</f>
        <v>4744498752.009036</v>
      </c>
      <c r="J13" s="278">
        <f>K13*(C7-0.01)*G29</f>
        <v>384040371.15756106</v>
      </c>
      <c r="K13" s="298">
        <f>I13/(1-((C7-0.01)*G29))</f>
        <v>5128539123.166597</v>
      </c>
      <c r="L13" s="742">
        <f>D13/B13</f>
        <v>1.6295206309349721</v>
      </c>
      <c r="M13" s="19" t="s">
        <v>1048</v>
      </c>
    </row>
    <row r="14" spans="1:13" ht="12.75">
      <c r="A14" s="82" t="s">
        <v>856</v>
      </c>
      <c r="B14" s="766">
        <f>DairyCurrent!AF20</f>
        <v>0.045923926679923545</v>
      </c>
      <c r="C14" s="168">
        <f t="shared" si="0"/>
        <v>0.3214674867594648</v>
      </c>
      <c r="D14" s="108">
        <v>0.1</v>
      </c>
      <c r="E14" s="168">
        <f t="shared" si="1"/>
        <v>0.7000000000000001</v>
      </c>
      <c r="F14" s="768">
        <f>D14*DairyCurrent!AB20*C7</f>
        <v>0.9080000000000001</v>
      </c>
      <c r="G14" s="776">
        <f>DairyCurrent!AJ20</f>
        <v>262.7505125637614</v>
      </c>
      <c r="H14" s="26">
        <f>D14*G14</f>
        <v>26.27505125637614</v>
      </c>
      <c r="I14" s="26">
        <f>H14*$C$4</f>
        <v>446675871.3583944</v>
      </c>
      <c r="J14" s="651">
        <v>0</v>
      </c>
      <c r="K14" s="107">
        <f>I14-J14</f>
        <v>446675871.3583944</v>
      </c>
      <c r="L14" s="743">
        <f aca="true" t="shared" si="2" ref="L14:L19">D14/B14</f>
        <v>2.1775141463179097</v>
      </c>
      <c r="M14" s="4"/>
    </row>
    <row r="15" spans="1:13" ht="12.75">
      <c r="A15" s="14" t="s">
        <v>857</v>
      </c>
      <c r="B15" s="766">
        <f>DairyCurrent!AF24</f>
        <v>0.08507342951049748</v>
      </c>
      <c r="C15" s="168">
        <f t="shared" si="0"/>
        <v>0.5955140065734824</v>
      </c>
      <c r="D15" s="108">
        <v>0.1</v>
      </c>
      <c r="E15" s="168">
        <f t="shared" si="1"/>
        <v>0.7000000000000001</v>
      </c>
      <c r="F15" s="768">
        <f>D15*DairyCurrent!AB24*0.148</f>
        <v>3.1967999999999996</v>
      </c>
      <c r="G15" s="776">
        <f>DairyCurrent!AJ24</f>
        <v>263.5253818743222</v>
      </c>
      <c r="H15" s="26">
        <f>D15*G15</f>
        <v>26.35253818743222</v>
      </c>
      <c r="I15" s="26">
        <f>H15*$C$4</f>
        <v>447993149.1863477</v>
      </c>
      <c r="J15" s="55">
        <f>I15*0.3</f>
        <v>134397944.75590432</v>
      </c>
      <c r="K15" s="107">
        <f>I15*0.7</f>
        <v>313595204.4304434</v>
      </c>
      <c r="L15" s="743">
        <f t="shared" si="2"/>
        <v>1.1754551400524025</v>
      </c>
      <c r="M15" s="70"/>
    </row>
    <row r="16" spans="1:13" ht="12.75">
      <c r="A16" s="14" t="s">
        <v>858</v>
      </c>
      <c r="B16" s="766">
        <f>FatsCurrent!T8</f>
        <v>0.12842788134102898</v>
      </c>
      <c r="C16" s="168">
        <f t="shared" si="0"/>
        <v>0.8989951693872028</v>
      </c>
      <c r="D16" s="108">
        <f>H16/G16</f>
        <v>0.19456418599168607</v>
      </c>
      <c r="E16" s="743">
        <f t="shared" si="1"/>
        <v>1.3619493019418025</v>
      </c>
      <c r="F16" s="104">
        <f>D16*(FatsCurrent!Z8/FatsCurrent!T8)</f>
        <v>4.412637912617044</v>
      </c>
      <c r="G16" s="776">
        <f>FatsCurrent!AD8</f>
        <v>37.73779983457403</v>
      </c>
      <c r="H16" s="26">
        <f>I16/C4</f>
        <v>7.342424305931081</v>
      </c>
      <c r="I16" s="26">
        <f>J16/2</f>
        <v>124821213.20082837</v>
      </c>
      <c r="J16" s="55">
        <f>J13-J15</f>
        <v>249642426.40165675</v>
      </c>
      <c r="K16" s="744">
        <v>0</v>
      </c>
      <c r="L16" s="743">
        <f t="shared" si="2"/>
        <v>1.5149684317771928</v>
      </c>
      <c r="M16" s="19" t="s">
        <v>1183</v>
      </c>
    </row>
    <row r="17" spans="1:13" ht="12.75">
      <c r="A17" s="82" t="s">
        <v>859</v>
      </c>
      <c r="B17" s="766">
        <f>DairyCurrent!AF19</f>
        <v>0.006214210232476403</v>
      </c>
      <c r="C17" s="168">
        <f t="shared" si="0"/>
        <v>0.04349947162733482</v>
      </c>
      <c r="D17" s="108">
        <f>H17/G17</f>
        <v>0.02656923319036645</v>
      </c>
      <c r="E17" s="168">
        <f t="shared" si="1"/>
        <v>0.18598463233256515</v>
      </c>
      <c r="F17" s="768">
        <v>0</v>
      </c>
      <c r="G17" s="776">
        <f>DairyCurrent!AJ19</f>
        <v>276.35062906494863</v>
      </c>
      <c r="H17" s="26">
        <f>I17/C4</f>
        <v>7.342424305931081</v>
      </c>
      <c r="I17" s="26">
        <f>J16/2</f>
        <v>124821213.20082837</v>
      </c>
      <c r="J17" s="651">
        <v>0</v>
      </c>
      <c r="K17" s="744">
        <v>0</v>
      </c>
      <c r="L17" s="743">
        <f t="shared" si="2"/>
        <v>4.275560722344348</v>
      </c>
      <c r="M17" s="4"/>
    </row>
    <row r="18" spans="1:15" ht="13.5" thickBot="1">
      <c r="A18" s="82" t="s">
        <v>992</v>
      </c>
      <c r="B18" s="766">
        <f>DairyCurrent!AF22</f>
        <v>0.6313570270242277</v>
      </c>
      <c r="C18" s="168">
        <f t="shared" si="0"/>
        <v>4.419499189169594</v>
      </c>
      <c r="D18" s="108">
        <f>H18/G18</f>
        <v>0.30514746472569043</v>
      </c>
      <c r="E18" s="168">
        <f t="shared" si="1"/>
        <v>2.136032253079833</v>
      </c>
      <c r="F18" s="768">
        <f>(((K18/17000000)*(1-DairyCurrent!P22)*0.04)*453.592/365.25)</f>
        <v>5.292278862918568</v>
      </c>
      <c r="G18" s="776">
        <f>DairyCurrent!AJ22</f>
        <v>48.40841370026044</v>
      </c>
      <c r="H18" s="26">
        <f>I18/C4</f>
        <v>14.771704712026851</v>
      </c>
      <c r="I18" s="26">
        <f>K18/10</f>
        <v>251118980.10445648</v>
      </c>
      <c r="J18" s="651">
        <v>0</v>
      </c>
      <c r="K18" s="107">
        <f>C8-K13-K14-K15</f>
        <v>2511189801.0445647</v>
      </c>
      <c r="L18" s="745">
        <f t="shared" si="2"/>
        <v>0.48331997849765074</v>
      </c>
      <c r="M18" s="19" t="s">
        <v>860</v>
      </c>
      <c r="N18" s="118">
        <f>K18-I18</f>
        <v>2260070820.9401083</v>
      </c>
      <c r="O18" s="14" t="s">
        <v>861</v>
      </c>
    </row>
    <row r="19" spans="1:12" ht="12.75">
      <c r="A19" s="746" t="s">
        <v>862</v>
      </c>
      <c r="B19" s="747">
        <f>DairyCurrent!AF45</f>
        <v>1.527253253870135</v>
      </c>
      <c r="C19" s="748">
        <f t="shared" si="0"/>
        <v>10.690772777090945</v>
      </c>
      <c r="D19" s="749">
        <f>D13+D14+D15+D17+D18</f>
        <v>1.531716697916057</v>
      </c>
      <c r="E19" s="750">
        <f>E13+E14+E15+E17+E18</f>
        <v>10.722016885412398</v>
      </c>
      <c r="F19" s="750">
        <f>F13+F14+F15+F17+F18</f>
        <v>11.837078862918567</v>
      </c>
      <c r="G19" s="751">
        <f>H19/D19</f>
        <v>231.0021695435234</v>
      </c>
      <c r="H19" s="752">
        <f>H13+H14+H15+H17+H18</f>
        <v>353.8298803446508</v>
      </c>
      <c r="I19" s="753">
        <f>I13+I14+I15+I17+I18</f>
        <v>6015107965.859064</v>
      </c>
      <c r="J19" s="752">
        <f>J13</f>
        <v>384040371.15756106</v>
      </c>
      <c r="K19" s="753">
        <f>K13+K14+K15+K17+K18</f>
        <v>8400000000</v>
      </c>
      <c r="L19" s="749">
        <f t="shared" si="2"/>
        <v>1.0029225303888607</v>
      </c>
    </row>
    <row r="20" spans="1:11" ht="12.75">
      <c r="A20" s="4"/>
      <c r="B20" s="4"/>
      <c r="C20" s="4"/>
      <c r="D20" s="4"/>
      <c r="E20" s="4"/>
      <c r="F20" s="743"/>
      <c r="G20" s="4"/>
      <c r="H20" s="4"/>
      <c r="I20" s="4"/>
      <c r="J20" s="22"/>
      <c r="K20" s="22"/>
    </row>
    <row r="21" spans="5:11" ht="12.75">
      <c r="E21" s="46"/>
      <c r="F21" s="46"/>
      <c r="J21" s="118"/>
      <c r="K21" s="118"/>
    </row>
    <row r="23" ht="12.75">
      <c r="A23" s="14" t="s">
        <v>829</v>
      </c>
    </row>
    <row r="24" spans="1:8" ht="12.75">
      <c r="A24" s="757" t="s">
        <v>33</v>
      </c>
      <c r="B24" s="758"/>
      <c r="C24" s="759"/>
      <c r="D24" s="758"/>
      <c r="E24" s="758"/>
      <c r="F24" s="758"/>
      <c r="G24" s="758"/>
      <c r="H24" s="17"/>
    </row>
    <row r="25" spans="1:10" ht="12.75">
      <c r="A25" s="760" t="s">
        <v>36</v>
      </c>
      <c r="B25" s="760" t="s">
        <v>37</v>
      </c>
      <c r="C25" s="760" t="s">
        <v>38</v>
      </c>
      <c r="D25" s="760" t="s">
        <v>39</v>
      </c>
      <c r="E25" s="758"/>
      <c r="F25" s="63"/>
      <c r="G25" s="63"/>
      <c r="J25" s="754"/>
    </row>
    <row r="26" spans="1:7" ht="12.75">
      <c r="A26" s="758">
        <v>100</v>
      </c>
      <c r="B26" s="761">
        <v>0.035</v>
      </c>
      <c r="C26" s="756">
        <v>93.6</v>
      </c>
      <c r="D26" s="756">
        <v>6.4</v>
      </c>
      <c r="E26" s="63"/>
      <c r="F26" s="63"/>
      <c r="G26" s="63"/>
    </row>
    <row r="27" spans="1:7" ht="12.75">
      <c r="A27" s="756"/>
      <c r="B27" s="762"/>
      <c r="C27" s="758"/>
      <c r="D27" s="63"/>
      <c r="E27" s="63"/>
      <c r="F27" s="755" t="s">
        <v>863</v>
      </c>
      <c r="G27" s="764">
        <f>3.5-(C26*0.01)</f>
        <v>2.564</v>
      </c>
    </row>
    <row r="28" spans="1:10" ht="12.75">
      <c r="A28" s="758"/>
      <c r="B28" s="760" t="s">
        <v>42</v>
      </c>
      <c r="C28" s="763" t="s">
        <v>43</v>
      </c>
      <c r="D28" s="63"/>
      <c r="E28" s="63"/>
      <c r="F28" s="755" t="s">
        <v>864</v>
      </c>
      <c r="G28" s="764">
        <f>D26-G27</f>
        <v>3.8360000000000003</v>
      </c>
      <c r="J28" s="46"/>
    </row>
    <row r="29" spans="1:10" ht="12.75">
      <c r="A29" s="758"/>
      <c r="B29" s="756">
        <v>3.2</v>
      </c>
      <c r="C29" s="756">
        <v>3.2</v>
      </c>
      <c r="D29" s="63"/>
      <c r="E29" s="63"/>
      <c r="F29" s="755" t="s">
        <v>865</v>
      </c>
      <c r="G29" s="764">
        <f>D26/G27</f>
        <v>2.49609984399376</v>
      </c>
      <c r="J29" s="46"/>
    </row>
    <row r="30" spans="2:7" ht="12.75">
      <c r="B30" s="63"/>
      <c r="C30" s="63"/>
      <c r="D30" s="63"/>
      <c r="E30" s="63"/>
      <c r="F30" s="63"/>
      <c r="G30" s="63"/>
    </row>
    <row r="31" ht="12.75">
      <c r="A31" s="777" t="s">
        <v>866</v>
      </c>
    </row>
    <row r="32" ht="12.75">
      <c r="A32" s="778" t="s">
        <v>869</v>
      </c>
    </row>
  </sheetData>
  <sheetProtection/>
  <mergeCells count="2">
    <mergeCell ref="B11:C11"/>
    <mergeCell ref="D11:F11"/>
  </mergeCell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dimension ref="A1:AM49"/>
  <sheetViews>
    <sheetView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2" sqref="A2"/>
    </sheetView>
  </sheetViews>
  <sheetFormatPr defaultColWidth="8.8515625" defaultRowHeight="12.75"/>
  <cols>
    <col min="1" max="1" width="39.140625" style="0" customWidth="1"/>
    <col min="2" max="2" width="8.8515625" style="0" customWidth="1"/>
    <col min="3" max="3" width="2.140625" style="0" hidden="1" customWidth="1"/>
    <col min="4" max="4" width="9.140625" style="0" hidden="1" customWidth="1"/>
    <col min="5" max="5" width="1.8515625" style="0" hidden="1" customWidth="1"/>
    <col min="6" max="6" width="9.140625" style="0" hidden="1" customWidth="1"/>
    <col min="7" max="7" width="1.1484375" style="0" hidden="1" customWidth="1"/>
    <col min="8" max="8" width="9.140625" style="0" hidden="1" customWidth="1"/>
    <col min="9" max="9" width="1.28515625" style="0" hidden="1" customWidth="1"/>
    <col min="10" max="10" width="9.140625" style="0" hidden="1" customWidth="1"/>
    <col min="11" max="11" width="1.421875" style="0" hidden="1" customWidth="1"/>
    <col min="12" max="12" width="9.140625" style="0" hidden="1" customWidth="1"/>
    <col min="13" max="13" width="1.28515625" style="0" hidden="1" customWidth="1"/>
    <col min="14" max="14" width="9.140625" style="0" hidden="1" customWidth="1"/>
    <col min="15" max="15" width="1.7109375" style="0" hidden="1" customWidth="1"/>
    <col min="16" max="16" width="8.8515625" style="0" customWidth="1"/>
    <col min="17" max="17" width="0.85546875" style="0" hidden="1" customWidth="1"/>
    <col min="18" max="18" width="8.8515625" style="0" customWidth="1"/>
    <col min="19" max="19" width="1.28515625" style="0" hidden="1" customWidth="1"/>
    <col min="20" max="20" width="8.8515625" style="0" customWidth="1"/>
    <col min="21" max="21" width="0.85546875" style="0" hidden="1" customWidth="1"/>
    <col min="22" max="22" width="8.8515625" style="0" customWidth="1"/>
    <col min="23" max="23" width="1.28515625" style="0" hidden="1" customWidth="1"/>
    <col min="24" max="24" width="8.8515625" style="0" customWidth="1"/>
    <col min="25" max="25" width="1.421875" style="0" hidden="1" customWidth="1"/>
    <col min="26" max="26" width="9.140625" style="0" customWidth="1"/>
    <col min="27" max="27" width="1.28515625" style="0" customWidth="1"/>
    <col min="28" max="28" width="9.140625" style="0" customWidth="1"/>
    <col min="29" max="29" width="1.28515625" style="0" customWidth="1"/>
    <col min="30" max="30" width="8.8515625" style="0" customWidth="1"/>
    <col min="31" max="31" width="1.28515625" style="0" customWidth="1"/>
    <col min="32" max="32" width="8.8515625" style="0" customWidth="1"/>
    <col min="33" max="33" width="1.421875" style="0" hidden="1" customWidth="1"/>
    <col min="34" max="34" width="9.140625" style="41" customWidth="1"/>
    <col min="35" max="35" width="8.8515625" style="0" customWidth="1"/>
    <col min="36" max="36" width="10.8515625" style="0" customWidth="1"/>
    <col min="37" max="37" width="9.140625" style="208" customWidth="1"/>
    <col min="38" max="38" width="9.140625" style="15" customWidth="1"/>
  </cols>
  <sheetData>
    <row r="1" spans="1:38" ht="18">
      <c r="A1" s="301" t="s">
        <v>584</v>
      </c>
      <c r="AK1"/>
      <c r="AL1"/>
    </row>
    <row r="2" spans="1:38" ht="12.75">
      <c r="A2" s="14" t="s">
        <v>200</v>
      </c>
      <c r="AB2" s="27"/>
      <c r="AH2"/>
      <c r="AK2"/>
      <c r="AL2"/>
    </row>
    <row r="3" spans="1:38" ht="12.75">
      <c r="A3" s="4"/>
      <c r="AH3"/>
      <c r="AK3"/>
      <c r="AL3"/>
    </row>
    <row r="4" spans="1:39" s="82" customFormat="1" ht="12" customHeight="1">
      <c r="A4" s="1280" t="s">
        <v>397</v>
      </c>
      <c r="B4" s="1283" t="s">
        <v>475</v>
      </c>
      <c r="C4" s="1280"/>
      <c r="D4" s="1286" t="s">
        <v>125</v>
      </c>
      <c r="E4" s="1280"/>
      <c r="F4" s="1283" t="s">
        <v>126</v>
      </c>
      <c r="G4" s="1280"/>
      <c r="H4" s="1283" t="s">
        <v>127</v>
      </c>
      <c r="I4" s="1280"/>
      <c r="J4" s="1283" t="s">
        <v>128</v>
      </c>
      <c r="K4" s="1280"/>
      <c r="L4" s="1288" t="s">
        <v>129</v>
      </c>
      <c r="M4" s="1289"/>
      <c r="N4" s="1289"/>
      <c r="O4" s="1290"/>
      <c r="P4" s="1283" t="s">
        <v>130</v>
      </c>
      <c r="Q4" s="1280"/>
      <c r="R4" s="1283" t="s">
        <v>131</v>
      </c>
      <c r="S4" s="1291"/>
      <c r="T4" s="1291"/>
      <c r="U4" s="1291"/>
      <c r="V4" s="1291"/>
      <c r="W4" s="1291"/>
      <c r="X4" s="1291"/>
      <c r="Y4" s="1280"/>
      <c r="Z4" s="1293" t="s">
        <v>585</v>
      </c>
      <c r="AA4" s="1275"/>
      <c r="AB4" s="1293" t="s">
        <v>586</v>
      </c>
      <c r="AC4" s="1294"/>
      <c r="AD4" s="1274" t="s">
        <v>476</v>
      </c>
      <c r="AE4" s="1275"/>
      <c r="AF4" s="1274" t="s">
        <v>587</v>
      </c>
      <c r="AG4" s="1294"/>
      <c r="AH4" s="1300" t="s">
        <v>588</v>
      </c>
      <c r="AI4" s="1300" t="s">
        <v>589</v>
      </c>
      <c r="AJ4" s="1297" t="s">
        <v>867</v>
      </c>
      <c r="AK4" s="1271" t="s">
        <v>670</v>
      </c>
      <c r="AL4" s="1271"/>
      <c r="AM4" s="457"/>
    </row>
    <row r="5" spans="1:38" s="82" customFormat="1" ht="12" customHeight="1">
      <c r="A5" s="1281"/>
      <c r="B5" s="1284"/>
      <c r="C5" s="1281"/>
      <c r="D5" s="1284"/>
      <c r="E5" s="1281"/>
      <c r="F5" s="1284"/>
      <c r="G5" s="1281"/>
      <c r="H5" s="1284"/>
      <c r="I5" s="1281"/>
      <c r="J5" s="1284"/>
      <c r="K5" s="1281"/>
      <c r="L5" s="1283" t="s">
        <v>133</v>
      </c>
      <c r="M5" s="1280"/>
      <c r="N5" s="1283" t="s">
        <v>134</v>
      </c>
      <c r="O5" s="1280"/>
      <c r="P5" s="1284"/>
      <c r="Q5" s="1281"/>
      <c r="R5" s="1284"/>
      <c r="S5" s="1287"/>
      <c r="T5" s="1287"/>
      <c r="U5" s="1287"/>
      <c r="V5" s="1287"/>
      <c r="W5" s="1287"/>
      <c r="X5" s="1287"/>
      <c r="Y5" s="1281"/>
      <c r="Z5" s="1276"/>
      <c r="AA5" s="1277"/>
      <c r="AB5" s="1276"/>
      <c r="AC5" s="1295"/>
      <c r="AD5" s="1276"/>
      <c r="AE5" s="1277"/>
      <c r="AF5" s="1276"/>
      <c r="AG5" s="1295"/>
      <c r="AH5" s="1301"/>
      <c r="AI5" s="1301"/>
      <c r="AJ5" s="1298"/>
      <c r="AK5" s="1273" t="s">
        <v>672</v>
      </c>
      <c r="AL5" s="1272" t="s">
        <v>671</v>
      </c>
    </row>
    <row r="6" spans="1:38" s="82" customFormat="1" ht="12" customHeight="1">
      <c r="A6" s="1281"/>
      <c r="B6" s="1284"/>
      <c r="C6" s="1281"/>
      <c r="D6" s="1284"/>
      <c r="E6" s="1281"/>
      <c r="F6" s="1284"/>
      <c r="G6" s="1281"/>
      <c r="H6" s="1284"/>
      <c r="I6" s="1281"/>
      <c r="J6" s="1284"/>
      <c r="K6" s="1281"/>
      <c r="L6" s="1284"/>
      <c r="M6" s="1281"/>
      <c r="N6" s="1284"/>
      <c r="O6" s="1281"/>
      <c r="P6" s="1284"/>
      <c r="Q6" s="1281"/>
      <c r="R6" s="1284"/>
      <c r="S6" s="1287"/>
      <c r="T6" s="1287"/>
      <c r="U6" s="1287"/>
      <c r="V6" s="1287"/>
      <c r="W6" s="1287"/>
      <c r="X6" s="1287"/>
      <c r="Y6" s="1281"/>
      <c r="Z6" s="1276"/>
      <c r="AA6" s="1277"/>
      <c r="AB6" s="1276"/>
      <c r="AC6" s="1295"/>
      <c r="AD6" s="1276"/>
      <c r="AE6" s="1277"/>
      <c r="AF6" s="1276"/>
      <c r="AG6" s="1295"/>
      <c r="AH6" s="1301"/>
      <c r="AI6" s="1301"/>
      <c r="AJ6" s="1298"/>
      <c r="AK6" s="1273"/>
      <c r="AL6" s="1272"/>
    </row>
    <row r="7" spans="1:38" s="82" customFormat="1" ht="12" customHeight="1">
      <c r="A7" s="1282"/>
      <c r="B7" s="1285"/>
      <c r="C7" s="1282"/>
      <c r="D7" s="1285"/>
      <c r="E7" s="1282"/>
      <c r="F7" s="1285"/>
      <c r="G7" s="1282"/>
      <c r="H7" s="1285"/>
      <c r="I7" s="1282"/>
      <c r="J7" s="1285"/>
      <c r="K7" s="1282"/>
      <c r="L7" s="1285"/>
      <c r="M7" s="1282"/>
      <c r="N7" s="1285"/>
      <c r="O7" s="1282"/>
      <c r="P7" s="1285"/>
      <c r="Q7" s="1282"/>
      <c r="R7" s="1285"/>
      <c r="S7" s="1292"/>
      <c r="T7" s="1292"/>
      <c r="U7" s="1292"/>
      <c r="V7" s="1292"/>
      <c r="W7" s="1292"/>
      <c r="X7" s="1292"/>
      <c r="Y7" s="1282"/>
      <c r="Z7" s="1278"/>
      <c r="AA7" s="1279"/>
      <c r="AB7" s="1278"/>
      <c r="AC7" s="1296"/>
      <c r="AD7" s="1278"/>
      <c r="AE7" s="1279"/>
      <c r="AF7" s="1278"/>
      <c r="AG7" s="1296"/>
      <c r="AH7" s="1302"/>
      <c r="AI7" s="1302"/>
      <c r="AJ7" s="1299"/>
      <c r="AK7" s="1273"/>
      <c r="AL7" s="1272"/>
    </row>
    <row r="8" spans="1:38" s="82" customFormat="1" ht="12" customHeight="1">
      <c r="A8" s="376"/>
      <c r="B8" s="1287" t="s">
        <v>477</v>
      </c>
      <c r="C8" s="1287"/>
      <c r="D8" s="1287" t="s">
        <v>478</v>
      </c>
      <c r="E8" s="1287"/>
      <c r="F8" s="1287" t="s">
        <v>477</v>
      </c>
      <c r="G8" s="1287"/>
      <c r="H8" s="1287" t="s">
        <v>478</v>
      </c>
      <c r="I8" s="1287"/>
      <c r="J8" s="1287" t="s">
        <v>477</v>
      </c>
      <c r="K8" s="1287"/>
      <c r="L8" s="1287" t="s">
        <v>478</v>
      </c>
      <c r="M8" s="1287"/>
      <c r="N8" s="1287" t="s">
        <v>478</v>
      </c>
      <c r="O8" s="1287"/>
      <c r="P8" s="1287" t="s">
        <v>478</v>
      </c>
      <c r="Q8" s="1287"/>
      <c r="R8" s="1287" t="s">
        <v>477</v>
      </c>
      <c r="S8" s="1287"/>
      <c r="T8" s="1287" t="s">
        <v>567</v>
      </c>
      <c r="U8" s="1287"/>
      <c r="V8" s="1287" t="s">
        <v>66</v>
      </c>
      <c r="W8" s="1287"/>
      <c r="X8" s="1287" t="s">
        <v>479</v>
      </c>
      <c r="Y8" s="1287"/>
      <c r="Z8" s="1287" t="s">
        <v>480</v>
      </c>
      <c r="AA8" s="1287"/>
      <c r="AB8" s="1287" t="s">
        <v>135</v>
      </c>
      <c r="AC8" s="1287"/>
      <c r="AD8" s="1287" t="s">
        <v>480</v>
      </c>
      <c r="AE8" s="1287"/>
      <c r="AF8" s="1287" t="s">
        <v>136</v>
      </c>
      <c r="AG8" s="1287"/>
      <c r="AH8" s="378" t="s">
        <v>41</v>
      </c>
      <c r="AJ8" s="733" t="s">
        <v>828</v>
      </c>
      <c r="AK8" s="458" t="s">
        <v>136</v>
      </c>
      <c r="AL8" s="459" t="s">
        <v>480</v>
      </c>
    </row>
    <row r="9" spans="2:38" s="14" customFormat="1" ht="12.75">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184"/>
      <c r="AK9" s="272"/>
      <c r="AL9" s="17"/>
    </row>
    <row r="10" spans="1:38" s="14" customFormat="1" ht="12.75">
      <c r="A10" s="379" t="s">
        <v>590</v>
      </c>
      <c r="B10" s="380">
        <v>189.86657355337053</v>
      </c>
      <c r="C10" s="380"/>
      <c r="D10" s="380"/>
      <c r="E10" s="380"/>
      <c r="F10" s="380">
        <v>189.86657355337053</v>
      </c>
      <c r="G10" s="380"/>
      <c r="H10" s="380"/>
      <c r="I10" s="380"/>
      <c r="J10" s="380">
        <v>167.06541171789723</v>
      </c>
      <c r="K10" s="380"/>
      <c r="L10" s="380"/>
      <c r="M10" s="380"/>
      <c r="N10" s="380"/>
      <c r="O10" s="380"/>
      <c r="P10" s="381">
        <f>(1/100)*31.3451806376894</f>
        <v>0.313451806376894</v>
      </c>
      <c r="Q10" s="381"/>
      <c r="R10" s="380">
        <v>130.35335522904876</v>
      </c>
      <c r="S10" s="380"/>
      <c r="T10" s="380">
        <v>15.1060288093401</v>
      </c>
      <c r="U10" s="380"/>
      <c r="V10" s="380">
        <v>5.714119681273371</v>
      </c>
      <c r="W10" s="380"/>
      <c r="X10" s="380">
        <v>161.99243590425942</v>
      </c>
      <c r="Y10" s="380"/>
      <c r="Z10" s="380"/>
      <c r="AA10" s="380"/>
      <c r="AB10" s="380"/>
      <c r="AC10" s="380"/>
      <c r="AD10" s="380">
        <v>82.33367747231327</v>
      </c>
      <c r="AE10" s="380"/>
      <c r="AF10" s="380">
        <v>0.6658155467075915</v>
      </c>
      <c r="AG10" s="380"/>
      <c r="AH10" s="382">
        <f>AF10/$AF$45</f>
        <v>0.4359562142168511</v>
      </c>
      <c r="AI10" s="184">
        <f>AF10/($AF$10+$AF$22+$AF$24)</f>
        <v>0.48169106305664583</v>
      </c>
      <c r="AJ10" s="182">
        <f>B10/AF10</f>
        <v>285.16392339026424</v>
      </c>
      <c r="AK10" s="272">
        <f>AH10*3</f>
        <v>1.3078686426505532</v>
      </c>
      <c r="AL10" s="17">
        <f>AK10*Z14</f>
        <v>133.40260155035642</v>
      </c>
    </row>
    <row r="11" spans="1:38" s="14" customFormat="1" ht="12.75">
      <c r="A11" s="32" t="s">
        <v>591</v>
      </c>
      <c r="B11" s="383">
        <v>161.43423886949867</v>
      </c>
      <c r="C11" s="383"/>
      <c r="D11" s="383"/>
      <c r="E11" s="383"/>
      <c r="F11" s="383">
        <v>161.43423886949867</v>
      </c>
      <c r="G11" s="383"/>
      <c r="H11" s="383"/>
      <c r="I11" s="383"/>
      <c r="J11" s="383">
        <v>142.06213020515884</v>
      </c>
      <c r="K11" s="383"/>
      <c r="L11" s="383"/>
      <c r="M11" s="383"/>
      <c r="N11" s="383"/>
      <c r="O11" s="383"/>
      <c r="P11" s="165">
        <f>(1/100)*29.6</f>
        <v>0.29600000000000004</v>
      </c>
      <c r="Q11" s="165"/>
      <c r="R11" s="383">
        <v>113.64970416412707</v>
      </c>
      <c r="S11" s="383"/>
      <c r="T11" s="383">
        <v>13.17640317731437</v>
      </c>
      <c r="U11" s="383"/>
      <c r="V11" s="383">
        <v>4.981904840071323</v>
      </c>
      <c r="W11" s="383"/>
      <c r="X11" s="383">
        <v>141.23451126360197</v>
      </c>
      <c r="Y11" s="383"/>
      <c r="Z11" s="383"/>
      <c r="AA11" s="383"/>
      <c r="AB11" s="383"/>
      <c r="AC11" s="383"/>
      <c r="AD11" s="383">
        <v>69.57275745236437</v>
      </c>
      <c r="AE11" s="383"/>
      <c r="AF11" s="383">
        <v>0.5784345626857592</v>
      </c>
      <c r="AG11" s="383"/>
      <c r="AH11" s="347">
        <f>AF11/$AF$45</f>
        <v>0.3787417451689675</v>
      </c>
      <c r="AJ11" s="182">
        <f>B11/AF11</f>
        <v>279.0881618828845</v>
      </c>
      <c r="AK11" s="272"/>
      <c r="AL11" s="17"/>
    </row>
    <row r="12" spans="1:38" s="14" customFormat="1" ht="12.75">
      <c r="A12" s="384" t="s">
        <v>592</v>
      </c>
      <c r="B12" s="265">
        <v>50.878512511195126</v>
      </c>
      <c r="C12" s="265"/>
      <c r="D12" s="265">
        <v>0</v>
      </c>
      <c r="E12" s="265"/>
      <c r="F12" s="265">
        <v>50.878512511195126</v>
      </c>
      <c r="G12" s="265"/>
      <c r="H12" s="265">
        <v>12</v>
      </c>
      <c r="I12" s="265"/>
      <c r="J12" s="265">
        <v>44.77309100985171</v>
      </c>
      <c r="K12" s="265"/>
      <c r="L12" s="265">
        <v>0</v>
      </c>
      <c r="M12" s="265"/>
      <c r="N12" s="265">
        <v>20</v>
      </c>
      <c r="O12" s="265"/>
      <c r="P12" s="184">
        <f>(1/100)*29.6</f>
        <v>0.29600000000000004</v>
      </c>
      <c r="Q12" s="184"/>
      <c r="R12" s="265">
        <v>35.81847280788138</v>
      </c>
      <c r="S12" s="265"/>
      <c r="T12" s="265">
        <v>4.164938698590857</v>
      </c>
      <c r="U12" s="265"/>
      <c r="V12" s="265">
        <v>1.570124835413978</v>
      </c>
      <c r="W12" s="265"/>
      <c r="X12" s="265">
        <v>44.51225402156856</v>
      </c>
      <c r="Y12" s="265"/>
      <c r="Z12" s="265">
        <v>146</v>
      </c>
      <c r="AA12" s="265"/>
      <c r="AB12" s="265">
        <v>244</v>
      </c>
      <c r="AC12" s="265"/>
      <c r="AD12" s="265">
        <v>26.634381504709058</v>
      </c>
      <c r="AE12" s="265"/>
      <c r="AF12" s="265">
        <v>0.18242727058019903</v>
      </c>
      <c r="AG12" s="265"/>
      <c r="AH12" s="282"/>
      <c r="AK12" s="272"/>
      <c r="AL12" s="17"/>
    </row>
    <row r="13" spans="1:38" s="14" customFormat="1" ht="12.75">
      <c r="A13" s="385">
        <v>0.02</v>
      </c>
      <c r="B13" s="265">
        <v>61.06061649541151</v>
      </c>
      <c r="C13" s="265"/>
      <c r="D13" s="265">
        <v>0</v>
      </c>
      <c r="E13" s="265"/>
      <c r="F13" s="265">
        <v>61.06061649541151</v>
      </c>
      <c r="G13" s="265"/>
      <c r="H13" s="265">
        <v>12</v>
      </c>
      <c r="I13" s="265"/>
      <c r="J13" s="265">
        <v>53.733342515962136</v>
      </c>
      <c r="K13" s="265"/>
      <c r="L13" s="265">
        <v>0</v>
      </c>
      <c r="M13" s="265"/>
      <c r="N13" s="265">
        <v>20</v>
      </c>
      <c r="O13" s="265"/>
      <c r="P13" s="184">
        <f>(1/100)*29.6</f>
        <v>0.29600000000000004</v>
      </c>
      <c r="Q13" s="184"/>
      <c r="R13" s="265">
        <v>42.9866740127697</v>
      </c>
      <c r="S13" s="265"/>
      <c r="T13" s="265">
        <v>4.981074624886408</v>
      </c>
      <c r="U13" s="265"/>
      <c r="V13" s="265">
        <v>1.8843473539844253</v>
      </c>
      <c r="W13" s="265"/>
      <c r="X13" s="265">
        <v>53.42030531178146</v>
      </c>
      <c r="Y13" s="265"/>
      <c r="Z13" s="265">
        <v>122</v>
      </c>
      <c r="AA13" s="265"/>
      <c r="AB13" s="265">
        <v>244</v>
      </c>
      <c r="AC13" s="265"/>
      <c r="AD13" s="265">
        <v>26.71015265589073</v>
      </c>
      <c r="AE13" s="265"/>
      <c r="AF13" s="265">
        <v>0.21893567750730103</v>
      </c>
      <c r="AG13" s="265"/>
      <c r="AH13" s="272"/>
      <c r="AK13" s="272"/>
      <c r="AL13" s="17"/>
    </row>
    <row r="14" spans="1:38" s="14" customFormat="1" ht="12.75">
      <c r="A14" s="385">
        <v>0.01</v>
      </c>
      <c r="B14" s="265">
        <v>22.477367718386922</v>
      </c>
      <c r="C14" s="265"/>
      <c r="D14" s="265">
        <v>0</v>
      </c>
      <c r="E14" s="265"/>
      <c r="F14" s="265">
        <v>22.477367718386922</v>
      </c>
      <c r="G14" s="265"/>
      <c r="H14" s="265">
        <v>12</v>
      </c>
      <c r="I14" s="265"/>
      <c r="J14" s="265">
        <v>19.780083592180493</v>
      </c>
      <c r="K14" s="265"/>
      <c r="L14" s="265">
        <v>0</v>
      </c>
      <c r="M14" s="265"/>
      <c r="N14" s="265">
        <v>20</v>
      </c>
      <c r="O14" s="265"/>
      <c r="P14" s="184">
        <f>(1/100)*29.6</f>
        <v>0.29600000000000004</v>
      </c>
      <c r="Q14" s="184"/>
      <c r="R14" s="265">
        <v>15.824066873744394</v>
      </c>
      <c r="S14" s="265"/>
      <c r="T14" s="265">
        <v>1.8314892214981935</v>
      </c>
      <c r="U14" s="265"/>
      <c r="V14" s="265">
        <v>0.6936577259723571</v>
      </c>
      <c r="W14" s="265"/>
      <c r="X14" s="265">
        <v>19.664849702453335</v>
      </c>
      <c r="Y14" s="265"/>
      <c r="Z14" s="265">
        <v>102</v>
      </c>
      <c r="AA14" s="265"/>
      <c r="AB14" s="265">
        <v>244</v>
      </c>
      <c r="AC14" s="265"/>
      <c r="AD14" s="265">
        <v>8.220551924796066</v>
      </c>
      <c r="AE14" s="265"/>
      <c r="AF14" s="265">
        <v>0.08059364632153006</v>
      </c>
      <c r="AG14" s="265"/>
      <c r="AH14" s="282"/>
      <c r="AI14" s="455"/>
      <c r="AK14" s="272"/>
      <c r="AL14" s="17"/>
    </row>
    <row r="15" spans="1:38" s="14" customFormat="1" ht="12.75">
      <c r="A15" s="384" t="s">
        <v>593</v>
      </c>
      <c r="B15" s="265">
        <v>27.017742144505103</v>
      </c>
      <c r="C15" s="265"/>
      <c r="D15" s="265">
        <v>0</v>
      </c>
      <c r="E15" s="265"/>
      <c r="F15" s="265">
        <v>27.017742144505103</v>
      </c>
      <c r="G15" s="265"/>
      <c r="H15" s="265">
        <v>12</v>
      </c>
      <c r="I15" s="265"/>
      <c r="J15" s="265">
        <v>23.775613087164494</v>
      </c>
      <c r="K15" s="265"/>
      <c r="L15" s="265">
        <v>0</v>
      </c>
      <c r="M15" s="265"/>
      <c r="N15" s="265">
        <v>20</v>
      </c>
      <c r="O15" s="265"/>
      <c r="P15" s="184">
        <f>(1/100)*29.6</f>
        <v>0.29600000000000004</v>
      </c>
      <c r="Q15" s="184"/>
      <c r="R15" s="265">
        <v>19.020490469731595</v>
      </c>
      <c r="S15" s="265"/>
      <c r="T15" s="265">
        <v>2.198900632338913</v>
      </c>
      <c r="U15" s="265"/>
      <c r="V15" s="265">
        <v>0.833774924700563</v>
      </c>
      <c r="W15" s="265"/>
      <c r="X15" s="265">
        <v>23.63710222779861</v>
      </c>
      <c r="Y15" s="265"/>
      <c r="Z15" s="265">
        <v>83</v>
      </c>
      <c r="AA15" s="265"/>
      <c r="AB15" s="265">
        <v>245</v>
      </c>
      <c r="AC15" s="265"/>
      <c r="AD15" s="265">
        <v>8.007671366968511</v>
      </c>
      <c r="AE15" s="265"/>
      <c r="AF15" s="265">
        <v>0.09647796827672903</v>
      </c>
      <c r="AG15" s="265"/>
      <c r="AH15" s="282"/>
      <c r="AK15" s="272"/>
      <c r="AL15" s="17"/>
    </row>
    <row r="16" spans="1:38" s="14" customFormat="1" ht="12.75">
      <c r="A16" s="62" t="s">
        <v>594</v>
      </c>
      <c r="B16" s="265">
        <v>14.648498502894668</v>
      </c>
      <c r="C16" s="265"/>
      <c r="D16" s="265"/>
      <c r="E16" s="265"/>
      <c r="F16" s="265">
        <v>14.648498502894668</v>
      </c>
      <c r="G16" s="265"/>
      <c r="H16" s="265"/>
      <c r="I16" s="265"/>
      <c r="J16" s="265">
        <v>12.890678682547309</v>
      </c>
      <c r="K16" s="265"/>
      <c r="L16" s="265"/>
      <c r="M16" s="265"/>
      <c r="N16" s="265"/>
      <c r="O16" s="265"/>
      <c r="P16" s="184">
        <f>(1/100)*51.6</f>
        <v>0.516</v>
      </c>
      <c r="Q16" s="184"/>
      <c r="R16" s="265">
        <v>7.08987327540102</v>
      </c>
      <c r="S16" s="265"/>
      <c r="T16" s="265">
        <v>0.8194896286168734</v>
      </c>
      <c r="U16" s="265"/>
      <c r="V16" s="265">
        <v>0.31078896549703094</v>
      </c>
      <c r="W16" s="265"/>
      <c r="X16" s="265">
        <v>8.81071177735808</v>
      </c>
      <c r="Y16" s="265"/>
      <c r="Z16" s="265"/>
      <c r="AA16" s="265"/>
      <c r="AB16" s="265"/>
      <c r="AC16" s="265">
        <v>5.814425535336777</v>
      </c>
      <c r="AD16" s="265">
        <v>5.814425535336777</v>
      </c>
      <c r="AE16" s="265"/>
      <c r="AF16" s="265">
        <v>0.03524284710943232</v>
      </c>
      <c r="AG16" s="265"/>
      <c r="AH16" s="282">
        <f>AF16/$AF$45</f>
        <v>0.0230759679313992</v>
      </c>
      <c r="AK16" s="272"/>
      <c r="AL16" s="17"/>
    </row>
    <row r="17" spans="1:38" s="14" customFormat="1" ht="12.75">
      <c r="A17" s="384" t="s">
        <v>592</v>
      </c>
      <c r="B17" s="265">
        <v>2.0454343120347853</v>
      </c>
      <c r="C17" s="265"/>
      <c r="D17" s="265">
        <v>0</v>
      </c>
      <c r="E17" s="265"/>
      <c r="F17" s="265">
        <v>2.0454343120347853</v>
      </c>
      <c r="G17" s="265"/>
      <c r="H17" s="265">
        <v>12</v>
      </c>
      <c r="I17" s="265"/>
      <c r="J17" s="265">
        <v>1.799982194590611</v>
      </c>
      <c r="K17" s="265"/>
      <c r="L17" s="265">
        <v>0</v>
      </c>
      <c r="M17" s="265"/>
      <c r="N17" s="265">
        <v>45</v>
      </c>
      <c r="O17" s="265"/>
      <c r="P17" s="184">
        <f>(1/100)*51.6</f>
        <v>0.516</v>
      </c>
      <c r="Q17" s="184"/>
      <c r="R17" s="265">
        <v>0.9899902070248361</v>
      </c>
      <c r="S17" s="265"/>
      <c r="T17" s="265">
        <v>0.11511514035172513</v>
      </c>
      <c r="U17" s="265"/>
      <c r="V17" s="265">
        <v>0.04339683099286953</v>
      </c>
      <c r="W17" s="265"/>
      <c r="X17" s="265">
        <v>1.2302784602323544</v>
      </c>
      <c r="Y17" s="265"/>
      <c r="Z17" s="265">
        <v>208</v>
      </c>
      <c r="AA17" s="265"/>
      <c r="AB17" s="265">
        <v>250</v>
      </c>
      <c r="AC17" s="265"/>
      <c r="AD17" s="265">
        <v>1.023591678913319</v>
      </c>
      <c r="AE17" s="265"/>
      <c r="AF17" s="265">
        <v>0.0049211138409294185</v>
      </c>
      <c r="AG17" s="265"/>
      <c r="AH17" s="282"/>
      <c r="AK17" s="272"/>
      <c r="AL17" s="17"/>
    </row>
    <row r="18" spans="1:38" s="14" customFormat="1" ht="12.75">
      <c r="A18" s="385" t="s">
        <v>595</v>
      </c>
      <c r="B18" s="265">
        <v>12.603064190859884</v>
      </c>
      <c r="C18" s="265"/>
      <c r="D18" s="265">
        <v>0</v>
      </c>
      <c r="E18" s="265"/>
      <c r="F18" s="265">
        <v>12.603064190859884</v>
      </c>
      <c r="G18" s="265"/>
      <c r="H18" s="265">
        <v>12</v>
      </c>
      <c r="I18" s="265"/>
      <c r="J18" s="265">
        <v>11.090696487956697</v>
      </c>
      <c r="K18" s="265"/>
      <c r="L18" s="265">
        <v>0</v>
      </c>
      <c r="M18" s="265"/>
      <c r="N18" s="265">
        <v>45</v>
      </c>
      <c r="O18" s="265"/>
      <c r="P18" s="184">
        <f>(1/100)*51.6</f>
        <v>0.516</v>
      </c>
      <c r="Q18" s="184"/>
      <c r="R18" s="265">
        <v>6.099883068376184</v>
      </c>
      <c r="S18" s="265"/>
      <c r="T18" s="265">
        <v>0.7043744882651481</v>
      </c>
      <c r="U18" s="265"/>
      <c r="V18" s="265">
        <v>0.26739213450416144</v>
      </c>
      <c r="W18" s="265"/>
      <c r="X18" s="265">
        <v>7.580433317125726</v>
      </c>
      <c r="Y18" s="265"/>
      <c r="Z18" s="265">
        <v>158</v>
      </c>
      <c r="AA18" s="265"/>
      <c r="AB18" s="265">
        <v>250</v>
      </c>
      <c r="AC18" s="265"/>
      <c r="AD18" s="265">
        <v>4.7908338564234585</v>
      </c>
      <c r="AE18" s="265"/>
      <c r="AF18" s="265">
        <v>0.030321733268502904</v>
      </c>
      <c r="AG18" s="265"/>
      <c r="AH18" s="282"/>
      <c r="AK18" s="272"/>
      <c r="AL18" s="17"/>
    </row>
    <row r="19" spans="1:38" s="14" customFormat="1" ht="12.75">
      <c r="A19" s="14" t="s">
        <v>596</v>
      </c>
      <c r="B19" s="265">
        <v>1.7173009068866947</v>
      </c>
      <c r="C19" s="265"/>
      <c r="D19" s="265">
        <v>0</v>
      </c>
      <c r="E19" s="265"/>
      <c r="F19" s="265">
        <v>1.7173009068866947</v>
      </c>
      <c r="G19" s="265"/>
      <c r="H19" s="265">
        <v>13</v>
      </c>
      <c r="I19" s="265"/>
      <c r="J19" s="265">
        <v>1.4940517889914244</v>
      </c>
      <c r="K19" s="265"/>
      <c r="L19" s="265">
        <v>0</v>
      </c>
      <c r="M19" s="265"/>
      <c r="N19" s="265">
        <v>18</v>
      </c>
      <c r="O19" s="265"/>
      <c r="P19" s="184">
        <f>(1/100)*28.66</f>
        <v>0.2866</v>
      </c>
      <c r="Q19" s="184"/>
      <c r="R19" s="265">
        <v>1.225122466972968</v>
      </c>
      <c r="S19" s="265"/>
      <c r="T19" s="265">
        <v>0.14146910704075838</v>
      </c>
      <c r="U19" s="265"/>
      <c r="V19" s="265">
        <v>0.05370399855223969</v>
      </c>
      <c r="W19" s="265"/>
      <c r="X19" s="265">
        <v>1.5224815069567188</v>
      </c>
      <c r="Y19" s="265"/>
      <c r="Z19" s="265">
        <v>98</v>
      </c>
      <c r="AA19" s="265"/>
      <c r="AB19" s="265">
        <v>245</v>
      </c>
      <c r="AC19" s="265"/>
      <c r="AD19" s="265">
        <v>0.6089926027826875</v>
      </c>
      <c r="AE19" s="265"/>
      <c r="AF19" s="265">
        <v>0.006214210232476403</v>
      </c>
      <c r="AG19" s="265"/>
      <c r="AH19" s="282">
        <f>AF19/$AF$45</f>
        <v>0.004068880008426427</v>
      </c>
      <c r="AJ19" s="182">
        <f>B19/AF19</f>
        <v>276.35062906494863</v>
      </c>
      <c r="AK19" s="272"/>
      <c r="AL19" s="17"/>
    </row>
    <row r="20" spans="1:38" s="14" customFormat="1" ht="12.75">
      <c r="A20" s="14" t="s">
        <v>257</v>
      </c>
      <c r="B20" s="265">
        <v>12.066535274090509</v>
      </c>
      <c r="C20" s="265"/>
      <c r="D20" s="265">
        <v>0</v>
      </c>
      <c r="E20" s="265"/>
      <c r="F20" s="265">
        <v>12.066535274090509</v>
      </c>
      <c r="G20" s="265"/>
      <c r="H20" s="265">
        <v>12</v>
      </c>
      <c r="I20" s="265"/>
      <c r="J20" s="265">
        <v>10.618551041199646</v>
      </c>
      <c r="K20" s="265"/>
      <c r="L20" s="265">
        <v>0</v>
      </c>
      <c r="M20" s="265"/>
      <c r="N20" s="265">
        <v>21</v>
      </c>
      <c r="O20" s="265"/>
      <c r="P20" s="184">
        <f>(1/100)*30.48</f>
        <v>0.3048</v>
      </c>
      <c r="Q20" s="184"/>
      <c r="R20" s="265">
        <v>8.38865532254772</v>
      </c>
      <c r="S20" s="265"/>
      <c r="T20" s="265">
        <v>0.9686668963680971</v>
      </c>
      <c r="U20" s="265"/>
      <c r="V20" s="265">
        <v>0.3677218771527768</v>
      </c>
      <c r="W20" s="265"/>
      <c r="X20" s="265">
        <v>10.424731356342647</v>
      </c>
      <c r="Y20" s="265"/>
      <c r="Z20" s="265">
        <v>138</v>
      </c>
      <c r="AA20" s="265"/>
      <c r="AB20" s="265">
        <v>227</v>
      </c>
      <c r="AC20" s="265"/>
      <c r="AD20" s="265">
        <v>6.33750188182945</v>
      </c>
      <c r="AE20" s="265"/>
      <c r="AF20" s="265">
        <v>0.045923926679923545</v>
      </c>
      <c r="AG20" s="265"/>
      <c r="AH20" s="282">
        <f>AF20/$AF$45</f>
        <v>0.030069621108057915</v>
      </c>
      <c r="AJ20" s="182">
        <f>B20/AF20</f>
        <v>262.7505125637614</v>
      </c>
      <c r="AK20" s="272"/>
      <c r="AL20" s="17"/>
    </row>
    <row r="21" spans="2:38" s="14" customFormat="1" ht="12.75">
      <c r="B21" s="265"/>
      <c r="C21" s="265"/>
      <c r="D21" s="265"/>
      <c r="E21" s="265"/>
      <c r="F21" s="265"/>
      <c r="G21" s="265"/>
      <c r="H21" s="265"/>
      <c r="I21" s="265"/>
      <c r="J21" s="265"/>
      <c r="K21" s="265"/>
      <c r="L21" s="265"/>
      <c r="M21" s="265"/>
      <c r="N21" s="265"/>
      <c r="O21" s="265"/>
      <c r="P21" s="184"/>
      <c r="Q21" s="184"/>
      <c r="R21" s="265"/>
      <c r="S21" s="265"/>
      <c r="T21" s="265"/>
      <c r="U21" s="265"/>
      <c r="V21" s="265"/>
      <c r="W21" s="265"/>
      <c r="X21" s="265"/>
      <c r="Y21" s="265"/>
      <c r="Z21" s="265"/>
      <c r="AA21" s="265"/>
      <c r="AB21" s="265" t="s">
        <v>767</v>
      </c>
      <c r="AC21" s="265"/>
      <c r="AD21" s="265"/>
      <c r="AE21" s="265"/>
      <c r="AF21" s="265"/>
      <c r="AG21" s="265"/>
      <c r="AH21" s="282"/>
      <c r="AL21" s="17"/>
    </row>
    <row r="22" spans="1:38" s="14" customFormat="1" ht="12.75">
      <c r="A22" s="379" t="s">
        <v>597</v>
      </c>
      <c r="B22" s="380">
        <v>30.562992156755325</v>
      </c>
      <c r="C22" s="380"/>
      <c r="D22" s="380"/>
      <c r="E22" s="380"/>
      <c r="F22" s="380">
        <v>30.562992156755325</v>
      </c>
      <c r="G22" s="380"/>
      <c r="H22" s="380"/>
      <c r="I22" s="380"/>
      <c r="J22" s="380">
        <v>28.729212627350012</v>
      </c>
      <c r="K22" s="380"/>
      <c r="L22" s="380"/>
      <c r="M22" s="380"/>
      <c r="N22" s="380"/>
      <c r="O22" s="380"/>
      <c r="P22" s="381">
        <f>(1/100)*27.876474143606</f>
        <v>0.27876474143606</v>
      </c>
      <c r="Q22" s="381"/>
      <c r="R22" s="380">
        <v>22.043238561755317</v>
      </c>
      <c r="S22" s="380"/>
      <c r="T22" s="380"/>
      <c r="U22" s="380"/>
      <c r="V22" s="380">
        <v>0.9662789506522879</v>
      </c>
      <c r="W22" s="380"/>
      <c r="X22" s="380">
        <v>27.39352511151704</v>
      </c>
      <c r="Y22" s="380"/>
      <c r="Z22" s="174">
        <f>AD22/AF22</f>
        <v>154.82556204680893</v>
      </c>
      <c r="AA22" s="380"/>
      <c r="AB22" s="380">
        <f>X22/AF22</f>
        <v>43.388326951282735</v>
      </c>
      <c r="AC22" s="380"/>
      <c r="AD22" s="380">
        <v>97.75020656122838</v>
      </c>
      <c r="AE22" s="380"/>
      <c r="AF22" s="380">
        <v>0.6313570270242277</v>
      </c>
      <c r="AG22" s="380"/>
      <c r="AH22" s="382">
        <f>AF22/$AF$45</f>
        <v>0.4133938005529455</v>
      </c>
      <c r="AI22" s="184">
        <f>AF22/($AF$10+$AF$22+$AF$24)</f>
        <v>0.45676169476580986</v>
      </c>
      <c r="AJ22" s="182">
        <f>B22/AF22</f>
        <v>48.40841370026044</v>
      </c>
      <c r="AK22" s="272">
        <f>AH22*3</f>
        <v>1.2401814016588366</v>
      </c>
      <c r="AL22" s="17">
        <f>AK22*(V22/AF22)*49</f>
        <v>93.00553486197678</v>
      </c>
    </row>
    <row r="23" spans="2:38" s="14" customFormat="1" ht="12.75">
      <c r="B23" s="265"/>
      <c r="C23" s="265"/>
      <c r="D23" s="265"/>
      <c r="E23" s="265"/>
      <c r="F23" s="265"/>
      <c r="G23" s="265"/>
      <c r="H23" s="265"/>
      <c r="I23" s="265"/>
      <c r="J23" s="265"/>
      <c r="K23" s="265"/>
      <c r="L23" s="265"/>
      <c r="M23" s="265"/>
      <c r="N23" s="265"/>
      <c r="O23" s="265"/>
      <c r="P23" s="184"/>
      <c r="Q23" s="184"/>
      <c r="R23" s="265"/>
      <c r="S23" s="265"/>
      <c r="T23" s="265"/>
      <c r="U23" s="265"/>
      <c r="V23" s="265"/>
      <c r="W23" s="265"/>
      <c r="X23" s="265"/>
      <c r="Y23" s="265"/>
      <c r="Z23" s="265"/>
      <c r="AA23" s="265"/>
      <c r="AB23" s="265"/>
      <c r="AC23" s="265"/>
      <c r="AD23" s="265"/>
      <c r="AE23" s="265"/>
      <c r="AF23" s="265"/>
      <c r="AG23" s="265"/>
      <c r="AH23" s="282"/>
      <c r="AK23" s="272"/>
      <c r="AL23" s="17"/>
    </row>
    <row r="24" spans="1:38" s="14" customFormat="1" ht="12.75">
      <c r="A24" s="379" t="s">
        <v>598</v>
      </c>
      <c r="B24" s="380">
        <v>22.41900799911208</v>
      </c>
      <c r="C24" s="380"/>
      <c r="D24" s="380"/>
      <c r="E24" s="380"/>
      <c r="F24" s="380">
        <v>22.41900799911208</v>
      </c>
      <c r="G24" s="380"/>
      <c r="H24" s="380"/>
      <c r="I24" s="380"/>
      <c r="J24" s="380">
        <v>19.728727039218633</v>
      </c>
      <c r="K24" s="380"/>
      <c r="L24" s="380"/>
      <c r="M24" s="380"/>
      <c r="N24" s="380"/>
      <c r="O24" s="380"/>
      <c r="P24" s="381">
        <f>(1/100)*34.0405710339108</f>
        <v>0.340405710339108</v>
      </c>
      <c r="Q24" s="381"/>
      <c r="R24" s="380">
        <v>14.786833062769233</v>
      </c>
      <c r="S24" s="380"/>
      <c r="T24" s="380"/>
      <c r="U24" s="380"/>
      <c r="V24" s="380">
        <v>0.6481899424775553</v>
      </c>
      <c r="W24" s="380"/>
      <c r="X24" s="380">
        <v>18.375860774267455</v>
      </c>
      <c r="Y24" s="380"/>
      <c r="Z24" s="380">
        <f>AD24/AF24</f>
        <v>409.9439365029043</v>
      </c>
      <c r="AA24" s="380"/>
      <c r="AB24" s="380">
        <f>X24/AF24</f>
        <v>215.99999999999997</v>
      </c>
      <c r="AC24" s="380"/>
      <c r="AD24" s="380">
        <v>34.87533658533569</v>
      </c>
      <c r="AE24" s="380"/>
      <c r="AF24" s="380">
        <v>0.08507342951049748</v>
      </c>
      <c r="AG24" s="380"/>
      <c r="AH24" s="382">
        <f>AF24/$AF$45</f>
        <v>0.0557035509958268</v>
      </c>
      <c r="AI24" s="184">
        <f>AF24/($AF$10+$AF$22+$AF$24)</f>
        <v>0.06154724217754425</v>
      </c>
      <c r="AJ24" s="182">
        <f>B24/AF24</f>
        <v>263.5253818743222</v>
      </c>
      <c r="AK24" s="272">
        <f>AH24*3</f>
        <v>0.1671106529874804</v>
      </c>
      <c r="AL24" s="17">
        <f>AK24*Z26</f>
        <v>62.83360552329263</v>
      </c>
    </row>
    <row r="25" spans="1:38" s="14" customFormat="1" ht="12.75">
      <c r="A25" s="62" t="s">
        <v>599</v>
      </c>
      <c r="B25" s="265">
        <v>13.892799015021286</v>
      </c>
      <c r="C25" s="265"/>
      <c r="D25" s="265">
        <v>0</v>
      </c>
      <c r="E25" s="265"/>
      <c r="F25" s="265">
        <v>13.892799015021286</v>
      </c>
      <c r="G25" s="265"/>
      <c r="H25" s="265">
        <v>12</v>
      </c>
      <c r="I25" s="265"/>
      <c r="J25" s="265">
        <v>12.225663133218728</v>
      </c>
      <c r="K25" s="265"/>
      <c r="L25" s="265">
        <v>0</v>
      </c>
      <c r="M25" s="265"/>
      <c r="N25" s="265">
        <v>24</v>
      </c>
      <c r="O25" s="265"/>
      <c r="P25" s="184">
        <f>(1/100)*33.12</f>
        <v>0.3312</v>
      </c>
      <c r="Q25" s="184"/>
      <c r="R25" s="265">
        <v>9.291503981246233</v>
      </c>
      <c r="S25" s="265"/>
      <c r="T25" s="265"/>
      <c r="U25" s="265"/>
      <c r="V25" s="265">
        <v>0.40729880465736923</v>
      </c>
      <c r="W25" s="265"/>
      <c r="X25" s="265">
        <v>11.546717462634087</v>
      </c>
      <c r="Y25" s="265"/>
      <c r="Z25" s="265">
        <v>434</v>
      </c>
      <c r="AA25" s="265"/>
      <c r="AB25" s="265">
        <v>216</v>
      </c>
      <c r="AC25" s="265"/>
      <c r="AD25" s="265">
        <v>23.20034897584812</v>
      </c>
      <c r="AE25" s="265"/>
      <c r="AF25" s="265">
        <v>0.05345702528997263</v>
      </c>
      <c r="AG25" s="265"/>
      <c r="AH25" s="282"/>
      <c r="AK25" s="272"/>
      <c r="AL25" s="17"/>
    </row>
    <row r="26" spans="1:38" s="14" customFormat="1" ht="12.75">
      <c r="A26" s="62" t="s">
        <v>600</v>
      </c>
      <c r="B26" s="265">
        <v>5.912579097260911</v>
      </c>
      <c r="C26" s="265"/>
      <c r="D26" s="265">
        <v>0</v>
      </c>
      <c r="E26" s="265"/>
      <c r="F26" s="265">
        <v>5.912579097260911</v>
      </c>
      <c r="G26" s="265"/>
      <c r="H26" s="265">
        <v>12</v>
      </c>
      <c r="I26" s="265"/>
      <c r="J26" s="265">
        <v>5.203069605589603</v>
      </c>
      <c r="K26" s="265"/>
      <c r="L26" s="265">
        <v>0</v>
      </c>
      <c r="M26" s="265"/>
      <c r="N26" s="265">
        <v>24</v>
      </c>
      <c r="O26" s="265"/>
      <c r="P26" s="184">
        <f>(1/100)*33.12</f>
        <v>0.3312</v>
      </c>
      <c r="Q26" s="184"/>
      <c r="R26" s="265">
        <v>3.9543329002480974</v>
      </c>
      <c r="S26" s="265"/>
      <c r="T26" s="265"/>
      <c r="U26" s="265"/>
      <c r="V26" s="265">
        <v>0.1733406202848481</v>
      </c>
      <c r="W26" s="265"/>
      <c r="X26" s="265">
        <v>4.9141199147653</v>
      </c>
      <c r="Y26" s="265"/>
      <c r="Z26" s="265">
        <v>376</v>
      </c>
      <c r="AA26" s="265"/>
      <c r="AB26" s="265">
        <v>216</v>
      </c>
      <c r="AC26" s="265"/>
      <c r="AD26" s="265">
        <v>8.554208740517376</v>
      </c>
      <c r="AE26" s="265"/>
      <c r="AF26" s="265">
        <v>0.022750555160950463</v>
      </c>
      <c r="AG26" s="265"/>
      <c r="AH26" s="282"/>
      <c r="AK26" s="272"/>
      <c r="AL26" s="17"/>
    </row>
    <row r="27" spans="1:38" s="14" customFormat="1" ht="12.75">
      <c r="A27" s="62" t="s">
        <v>601</v>
      </c>
      <c r="B27" s="265">
        <v>2.6136298868298846</v>
      </c>
      <c r="C27" s="265"/>
      <c r="D27" s="265">
        <v>0</v>
      </c>
      <c r="E27" s="265"/>
      <c r="F27" s="265">
        <v>2.6136298868298846</v>
      </c>
      <c r="G27" s="265"/>
      <c r="H27" s="265">
        <v>12</v>
      </c>
      <c r="I27" s="265"/>
      <c r="J27" s="265">
        <v>2.2999943004102987</v>
      </c>
      <c r="K27" s="265"/>
      <c r="L27" s="265">
        <v>0</v>
      </c>
      <c r="M27" s="265"/>
      <c r="N27" s="265">
        <v>33</v>
      </c>
      <c r="O27" s="265"/>
      <c r="P27" s="184">
        <f>(1/100)*41.04</f>
        <v>0.4104</v>
      </c>
      <c r="Q27" s="184"/>
      <c r="R27" s="265">
        <v>1.5409961812749002</v>
      </c>
      <c r="S27" s="265"/>
      <c r="T27" s="265"/>
      <c r="U27" s="265"/>
      <c r="V27" s="265">
        <v>0.0675505175353381</v>
      </c>
      <c r="W27" s="265"/>
      <c r="X27" s="265">
        <v>1.915023396868067</v>
      </c>
      <c r="Y27" s="265"/>
      <c r="Z27" s="265">
        <v>352</v>
      </c>
      <c r="AA27" s="265"/>
      <c r="AB27" s="265">
        <v>216</v>
      </c>
      <c r="AC27" s="265"/>
      <c r="AD27" s="265">
        <v>3.1207788689701834</v>
      </c>
      <c r="AE27" s="265"/>
      <c r="AF27" s="265">
        <v>0.008865849059574386</v>
      </c>
      <c r="AG27" s="265"/>
      <c r="AH27" s="282"/>
      <c r="AK27" s="272"/>
      <c r="AL27" s="17"/>
    </row>
    <row r="28" spans="2:38" s="14" customFormat="1" ht="12.75">
      <c r="B28" s="265"/>
      <c r="C28" s="265"/>
      <c r="D28" s="265"/>
      <c r="E28" s="265"/>
      <c r="F28" s="265"/>
      <c r="G28" s="265"/>
      <c r="H28" s="265"/>
      <c r="I28" s="265"/>
      <c r="J28" s="265"/>
      <c r="K28" s="265"/>
      <c r="L28" s="265"/>
      <c r="M28" s="265"/>
      <c r="N28" s="265"/>
      <c r="O28" s="265"/>
      <c r="P28" s="184"/>
      <c r="Q28" s="184"/>
      <c r="R28" s="265"/>
      <c r="S28" s="265"/>
      <c r="T28" s="265"/>
      <c r="U28" s="265"/>
      <c r="V28" s="265"/>
      <c r="W28" s="265"/>
      <c r="X28" s="265"/>
      <c r="Y28" s="265"/>
      <c r="Z28" s="265"/>
      <c r="AA28" s="265"/>
      <c r="AB28" s="265"/>
      <c r="AC28" s="265"/>
      <c r="AD28" s="265"/>
      <c r="AE28" s="265"/>
      <c r="AF28" s="265"/>
      <c r="AG28" s="265"/>
      <c r="AH28" s="282"/>
      <c r="AK28" s="272"/>
      <c r="AL28" s="17"/>
    </row>
    <row r="29" spans="1:38" s="40" customFormat="1" ht="12.75">
      <c r="A29" s="386" t="s">
        <v>602</v>
      </c>
      <c r="B29" s="387">
        <v>7.1416214229702915</v>
      </c>
      <c r="C29" s="387"/>
      <c r="D29" s="387"/>
      <c r="E29" s="387"/>
      <c r="F29" s="387">
        <v>7.1416214229702915</v>
      </c>
      <c r="G29" s="387"/>
      <c r="H29" s="387"/>
      <c r="I29" s="387"/>
      <c r="J29" s="387">
        <v>6.284626852213856</v>
      </c>
      <c r="K29" s="387"/>
      <c r="L29" s="387"/>
      <c r="M29" s="387"/>
      <c r="N29" s="387"/>
      <c r="O29" s="387"/>
      <c r="P29" s="388">
        <f>(1/100)*25.2</f>
        <v>0.252</v>
      </c>
      <c r="Q29" s="388"/>
      <c r="R29" s="387">
        <v>5.341932824381778</v>
      </c>
      <c r="S29" s="387"/>
      <c r="T29" s="387"/>
      <c r="U29" s="387"/>
      <c r="V29" s="387">
        <v>0.23416691832906428</v>
      </c>
      <c r="W29" s="387"/>
      <c r="X29" s="387">
        <v>6.638515051169806</v>
      </c>
      <c r="Y29" s="387"/>
      <c r="Z29" s="387"/>
      <c r="AA29" s="387"/>
      <c r="AB29" s="387"/>
      <c r="AC29" s="387"/>
      <c r="AD29" s="387">
        <v>6.289234034272532</v>
      </c>
      <c r="AE29" s="387"/>
      <c r="AF29" s="387">
        <v>0.052107618091149444</v>
      </c>
      <c r="AG29" s="387"/>
      <c r="AH29" s="382">
        <f>AF29/$AF$45</f>
        <v>0.03411851830016153</v>
      </c>
      <c r="AI29" s="184"/>
      <c r="AJ29" s="182">
        <f>B29/AF29</f>
        <v>137.05522694354948</v>
      </c>
      <c r="AK29" s="272">
        <f>AH29*3</f>
        <v>0.10235555490048459</v>
      </c>
      <c r="AL29" s="76">
        <f>AK29*120</f>
        <v>12.28266658805815</v>
      </c>
    </row>
    <row r="30" spans="1:38" s="40" customFormat="1" ht="12.75">
      <c r="A30" s="389" t="s">
        <v>603</v>
      </c>
      <c r="B30" s="100">
        <v>1.494372205179829</v>
      </c>
      <c r="C30" s="100"/>
      <c r="D30" s="100">
        <v>0</v>
      </c>
      <c r="E30" s="100"/>
      <c r="F30" s="100">
        <v>1.494372205179829</v>
      </c>
      <c r="G30" s="100"/>
      <c r="H30" s="100">
        <v>12</v>
      </c>
      <c r="I30" s="100"/>
      <c r="J30" s="100">
        <v>1.3150475405582494</v>
      </c>
      <c r="K30" s="100"/>
      <c r="L30" s="100">
        <v>0</v>
      </c>
      <c r="M30" s="100"/>
      <c r="N30" s="100">
        <v>15</v>
      </c>
      <c r="O30" s="100"/>
      <c r="P30" s="390">
        <f>(1/100)*25.2</f>
        <v>0.252</v>
      </c>
      <c r="Q30" s="390"/>
      <c r="R30" s="100">
        <v>1.117790409474512</v>
      </c>
      <c r="S30" s="100"/>
      <c r="T30" s="100"/>
      <c r="U30" s="100"/>
      <c r="V30" s="100">
        <v>0.048999031648197786</v>
      </c>
      <c r="W30" s="100"/>
      <c r="X30" s="100">
        <v>1.3890980477105832</v>
      </c>
      <c r="Y30" s="100"/>
      <c r="Z30" s="100">
        <v>169</v>
      </c>
      <c r="AA30" s="100"/>
      <c r="AB30" s="100">
        <v>126</v>
      </c>
      <c r="AC30" s="100"/>
      <c r="AD30" s="100">
        <v>1.86315531796102</v>
      </c>
      <c r="AE30" s="100"/>
      <c r="AF30" s="100">
        <v>0.011024587680242722</v>
      </c>
      <c r="AG30" s="100"/>
      <c r="AH30" s="391"/>
      <c r="AK30" s="403"/>
      <c r="AL30" s="76"/>
    </row>
    <row r="31" spans="1:38" s="40" customFormat="1" ht="12.75">
      <c r="A31" s="389" t="s">
        <v>604</v>
      </c>
      <c r="B31" s="100">
        <v>0.624263560248514</v>
      </c>
      <c r="C31" s="100"/>
      <c r="D31" s="100">
        <v>0</v>
      </c>
      <c r="E31" s="100"/>
      <c r="F31" s="100">
        <v>0.624263560248514</v>
      </c>
      <c r="G31" s="100"/>
      <c r="H31" s="100">
        <v>12</v>
      </c>
      <c r="I31" s="100"/>
      <c r="J31" s="100">
        <v>0.5493519330186923</v>
      </c>
      <c r="K31" s="100"/>
      <c r="L31" s="100">
        <v>0</v>
      </c>
      <c r="M31" s="100"/>
      <c r="N31" s="100">
        <v>15</v>
      </c>
      <c r="O31" s="100"/>
      <c r="P31" s="390">
        <f>(1/100)*25.2</f>
        <v>0.252</v>
      </c>
      <c r="Q31" s="390"/>
      <c r="R31" s="100">
        <v>0.4669491430658884</v>
      </c>
      <c r="S31" s="100"/>
      <c r="T31" s="100"/>
      <c r="U31" s="100"/>
      <c r="V31" s="100">
        <v>0.020469003531655386</v>
      </c>
      <c r="W31" s="100"/>
      <c r="X31" s="100">
        <v>0.5802860156206642</v>
      </c>
      <c r="Y31" s="100"/>
      <c r="Z31" s="100">
        <v>169</v>
      </c>
      <c r="AA31" s="100"/>
      <c r="AB31" s="100">
        <v>126</v>
      </c>
      <c r="AC31" s="100"/>
      <c r="AD31" s="100">
        <v>0.778320132062637</v>
      </c>
      <c r="AE31" s="100"/>
      <c r="AF31" s="100">
        <v>0.004605444568417971</v>
      </c>
      <c r="AG31" s="100"/>
      <c r="AH31" s="391"/>
      <c r="AK31" s="403"/>
      <c r="AL31" s="76"/>
    </row>
    <row r="32" spans="1:38" s="40" customFormat="1" ht="12.75">
      <c r="A32" s="389" t="s">
        <v>605</v>
      </c>
      <c r="B32" s="100">
        <v>5.022985657541948</v>
      </c>
      <c r="C32" s="100"/>
      <c r="D32" s="100">
        <v>0</v>
      </c>
      <c r="E32" s="100"/>
      <c r="F32" s="100">
        <v>5.022985657541948</v>
      </c>
      <c r="G32" s="100"/>
      <c r="H32" s="100">
        <v>12</v>
      </c>
      <c r="I32" s="100"/>
      <c r="J32" s="100">
        <v>4.420227378636914</v>
      </c>
      <c r="K32" s="100"/>
      <c r="L32" s="100">
        <v>0</v>
      </c>
      <c r="M32" s="100"/>
      <c r="N32" s="100">
        <v>15</v>
      </c>
      <c r="O32" s="100"/>
      <c r="P32" s="390">
        <f>(1/100)*25.2</f>
        <v>0.252</v>
      </c>
      <c r="Q32" s="390"/>
      <c r="R32" s="100">
        <v>3.757193271841378</v>
      </c>
      <c r="S32" s="100"/>
      <c r="T32" s="100"/>
      <c r="U32" s="100"/>
      <c r="V32" s="100">
        <v>0.16469888314921105</v>
      </c>
      <c r="W32" s="100"/>
      <c r="X32" s="100">
        <v>4.6691309878385585</v>
      </c>
      <c r="Y32" s="100"/>
      <c r="Z32" s="100">
        <v>100</v>
      </c>
      <c r="AA32" s="100"/>
      <c r="AB32" s="100">
        <v>128</v>
      </c>
      <c r="AC32" s="100"/>
      <c r="AD32" s="100">
        <v>3.6477585842488742</v>
      </c>
      <c r="AE32" s="100"/>
      <c r="AF32" s="100">
        <v>0.03647758584248874</v>
      </c>
      <c r="AG32" s="100"/>
      <c r="AH32" s="391"/>
      <c r="AK32" s="403"/>
      <c r="AL32" s="76"/>
    </row>
    <row r="33" spans="2:38" s="14" customFormat="1" ht="12.75">
      <c r="B33" s="265"/>
      <c r="C33" s="265"/>
      <c r="D33" s="265"/>
      <c r="E33" s="265"/>
      <c r="F33" s="265"/>
      <c r="G33" s="265"/>
      <c r="H33" s="265"/>
      <c r="I33" s="265"/>
      <c r="J33" s="265"/>
      <c r="K33" s="265"/>
      <c r="L33" s="265"/>
      <c r="M33" s="265"/>
      <c r="N33" s="265"/>
      <c r="O33" s="265"/>
      <c r="P33" s="184"/>
      <c r="Q33" s="184"/>
      <c r="R33" s="265"/>
      <c r="S33" s="265"/>
      <c r="T33" s="265"/>
      <c r="U33" s="265"/>
      <c r="V33" s="265"/>
      <c r="W33" s="265"/>
      <c r="X33" s="265"/>
      <c r="Y33" s="265"/>
      <c r="Z33" s="265"/>
      <c r="AA33" s="265"/>
      <c r="AB33" s="265"/>
      <c r="AC33" s="265"/>
      <c r="AD33" s="265"/>
      <c r="AE33" s="265"/>
      <c r="AF33" s="265"/>
      <c r="AG33" s="265"/>
      <c r="AH33" s="282"/>
      <c r="AK33" s="272"/>
      <c r="AL33" s="17"/>
    </row>
    <row r="34" spans="1:38" s="40" customFormat="1" ht="12.75">
      <c r="A34" s="386" t="s">
        <v>606</v>
      </c>
      <c r="B34" s="387">
        <v>3.6298863097152165</v>
      </c>
      <c r="C34" s="387"/>
      <c r="D34" s="387"/>
      <c r="E34" s="387"/>
      <c r="F34" s="387">
        <v>3.6298863097152165</v>
      </c>
      <c r="G34" s="387"/>
      <c r="H34" s="387"/>
      <c r="I34" s="387"/>
      <c r="J34" s="387">
        <v>3.5935874466180637</v>
      </c>
      <c r="K34" s="387"/>
      <c r="L34" s="387"/>
      <c r="M34" s="387"/>
      <c r="N34" s="387"/>
      <c r="O34" s="387"/>
      <c r="P34" s="388">
        <f>(1/100)*41.59</f>
        <v>0.41590000000000005</v>
      </c>
      <c r="Q34" s="388"/>
      <c r="R34" s="387">
        <v>2.1202165935046575</v>
      </c>
      <c r="S34" s="387"/>
      <c r="T34" s="387"/>
      <c r="U34" s="387"/>
      <c r="V34" s="387">
        <v>0.0929410013591083</v>
      </c>
      <c r="W34" s="387"/>
      <c r="X34" s="387">
        <v>2.63483091803004</v>
      </c>
      <c r="Y34" s="387"/>
      <c r="Z34" s="387"/>
      <c r="AA34" s="387"/>
      <c r="AB34" s="387"/>
      <c r="AC34" s="387"/>
      <c r="AD34" s="387">
        <v>9.720373672944614</v>
      </c>
      <c r="AE34" s="387"/>
      <c r="AF34" s="387">
        <v>0.0876632429968101</v>
      </c>
      <c r="AG34" s="387"/>
      <c r="AH34" s="382">
        <f>AF34/$AF$45</f>
        <v>0.057399283828446335</v>
      </c>
      <c r="AJ34" s="182">
        <f>B34/AF34</f>
        <v>41.40716434420868</v>
      </c>
      <c r="AK34" s="403">
        <f>AH34*3</f>
        <v>0.172197851485339</v>
      </c>
      <c r="AL34" s="76">
        <f>AK34*120</f>
        <v>20.663742178240682</v>
      </c>
    </row>
    <row r="35" spans="1:38" s="40" customFormat="1" ht="12.75">
      <c r="A35" s="389" t="s">
        <v>607</v>
      </c>
      <c r="B35" s="100">
        <v>0.10874934899719786</v>
      </c>
      <c r="C35" s="100"/>
      <c r="D35" s="100">
        <v>0</v>
      </c>
      <c r="E35" s="100"/>
      <c r="F35" s="100">
        <v>0.10874934899719786</v>
      </c>
      <c r="G35" s="100"/>
      <c r="H35" s="100">
        <v>1</v>
      </c>
      <c r="I35" s="100"/>
      <c r="J35" s="100">
        <v>0.10766185550722587</v>
      </c>
      <c r="K35" s="100"/>
      <c r="L35" s="100">
        <v>0</v>
      </c>
      <c r="M35" s="100"/>
      <c r="N35" s="100">
        <v>41</v>
      </c>
      <c r="O35" s="100"/>
      <c r="P35" s="390">
        <f>(1/100)*41.59</f>
        <v>0.41590000000000005</v>
      </c>
      <c r="Q35" s="390"/>
      <c r="R35" s="100">
        <v>0.06352049474926327</v>
      </c>
      <c r="S35" s="100"/>
      <c r="T35" s="100"/>
      <c r="U35" s="100"/>
      <c r="V35" s="100">
        <v>0.0027844600438033215</v>
      </c>
      <c r="W35" s="100"/>
      <c r="X35" s="100">
        <v>0.07893805001180225</v>
      </c>
      <c r="Y35" s="100"/>
      <c r="Z35" s="100">
        <v>159</v>
      </c>
      <c r="AA35" s="100"/>
      <c r="AB35" s="100">
        <v>32</v>
      </c>
      <c r="AC35" s="100"/>
      <c r="AD35" s="100">
        <v>0.3922234359961424</v>
      </c>
      <c r="AE35" s="100"/>
      <c r="AF35" s="100">
        <v>0.0024668140628688203</v>
      </c>
      <c r="AG35" s="100"/>
      <c r="AH35" s="391"/>
      <c r="AK35" s="403"/>
      <c r="AL35" s="76"/>
    </row>
    <row r="36" spans="1:38" s="40" customFormat="1" ht="12.75">
      <c r="A36" s="389" t="s">
        <v>608</v>
      </c>
      <c r="B36" s="100">
        <v>3.2746973275821545</v>
      </c>
      <c r="C36" s="100"/>
      <c r="D36" s="100">
        <v>0</v>
      </c>
      <c r="E36" s="100"/>
      <c r="F36" s="100">
        <v>3.2746973275821545</v>
      </c>
      <c r="G36" s="100"/>
      <c r="H36" s="100">
        <v>1</v>
      </c>
      <c r="I36" s="100"/>
      <c r="J36" s="100">
        <v>3.241950354306333</v>
      </c>
      <c r="K36" s="100"/>
      <c r="L36" s="100">
        <v>0</v>
      </c>
      <c r="M36" s="100"/>
      <c r="N36" s="100">
        <v>41</v>
      </c>
      <c r="O36" s="100"/>
      <c r="P36" s="390">
        <f>(1/100)*41.59</f>
        <v>0.41590000000000005</v>
      </c>
      <c r="Q36" s="390"/>
      <c r="R36" s="100">
        <v>1.9127507090407367</v>
      </c>
      <c r="S36" s="100"/>
      <c r="T36" s="100"/>
      <c r="U36" s="100"/>
      <c r="V36" s="100">
        <v>0.08384660642370353</v>
      </c>
      <c r="W36" s="100"/>
      <c r="X36" s="100">
        <v>2.3770093688087828</v>
      </c>
      <c r="Y36" s="100"/>
      <c r="Z36" s="100">
        <v>109</v>
      </c>
      <c r="AA36" s="100"/>
      <c r="AB36" s="100">
        <v>30</v>
      </c>
      <c r="AC36" s="100"/>
      <c r="AD36" s="100">
        <v>8.63646737333858</v>
      </c>
      <c r="AE36" s="100"/>
      <c r="AF36" s="100">
        <v>0.07923364562695943</v>
      </c>
      <c r="AG36" s="100"/>
      <c r="AH36" s="391"/>
      <c r="AK36" s="403"/>
      <c r="AL36" s="76"/>
    </row>
    <row r="37" spans="1:38" s="40" customFormat="1" ht="12.75">
      <c r="A37" s="389" t="s">
        <v>609</v>
      </c>
      <c r="B37" s="100">
        <v>0.2464396331358636</v>
      </c>
      <c r="C37" s="100"/>
      <c r="D37" s="100">
        <v>0</v>
      </c>
      <c r="E37" s="100"/>
      <c r="F37" s="100">
        <v>0.2464396331358636</v>
      </c>
      <c r="G37" s="100"/>
      <c r="H37" s="100">
        <v>1</v>
      </c>
      <c r="I37" s="100"/>
      <c r="J37" s="100">
        <v>0.2439752368045049</v>
      </c>
      <c r="K37" s="100"/>
      <c r="L37" s="100">
        <v>0</v>
      </c>
      <c r="M37" s="100"/>
      <c r="N37" s="100">
        <v>41</v>
      </c>
      <c r="O37" s="100"/>
      <c r="P37" s="390">
        <f>(1/100)*41.59</f>
        <v>0.41590000000000005</v>
      </c>
      <c r="Q37" s="390"/>
      <c r="R37" s="100">
        <v>0.14394538971465792</v>
      </c>
      <c r="S37" s="100"/>
      <c r="T37" s="100"/>
      <c r="U37" s="100"/>
      <c r="V37" s="100">
        <v>0.006309934891601442</v>
      </c>
      <c r="W37" s="100"/>
      <c r="X37" s="100">
        <v>0.1788834992094551</v>
      </c>
      <c r="Y37" s="100"/>
      <c r="Z37" s="100">
        <v>116</v>
      </c>
      <c r="AA37" s="100"/>
      <c r="AB37" s="100">
        <v>30</v>
      </c>
      <c r="AC37" s="100"/>
      <c r="AD37" s="100">
        <v>0.691682863609893</v>
      </c>
      <c r="AE37" s="100"/>
      <c r="AF37" s="100">
        <v>0.005962783306981837</v>
      </c>
      <c r="AG37" s="100"/>
      <c r="AH37" s="391"/>
      <c r="AK37" s="403"/>
      <c r="AL37" s="76"/>
    </row>
    <row r="38" spans="2:38" s="14" customFormat="1" ht="12.75">
      <c r="B38" s="265"/>
      <c r="C38" s="265"/>
      <c r="D38" s="265"/>
      <c r="E38" s="265"/>
      <c r="F38" s="265"/>
      <c r="G38" s="265"/>
      <c r="H38" s="265"/>
      <c r="I38" s="265"/>
      <c r="J38" s="265"/>
      <c r="K38" s="265"/>
      <c r="L38" s="265"/>
      <c r="M38" s="265"/>
      <c r="N38" s="265"/>
      <c r="O38" s="265"/>
      <c r="P38" s="184"/>
      <c r="Q38" s="184"/>
      <c r="R38" s="265"/>
      <c r="S38" s="265"/>
      <c r="T38" s="265"/>
      <c r="U38" s="265"/>
      <c r="V38" s="265"/>
      <c r="W38" s="265"/>
      <c r="X38" s="265"/>
      <c r="Y38" s="265"/>
      <c r="Z38" s="265"/>
      <c r="AA38" s="265"/>
      <c r="AB38" s="265"/>
      <c r="AC38" s="265"/>
      <c r="AD38" s="265"/>
      <c r="AE38" s="265"/>
      <c r="AF38" s="265"/>
      <c r="AG38" s="265"/>
      <c r="AH38" s="282"/>
      <c r="AK38" s="272"/>
      <c r="AL38" s="17"/>
    </row>
    <row r="39" spans="1:38" s="40" customFormat="1" ht="12.75">
      <c r="A39" s="392" t="s">
        <v>610</v>
      </c>
      <c r="B39" s="387">
        <v>0.41630024375469504</v>
      </c>
      <c r="C39" s="387"/>
      <c r="D39" s="387"/>
      <c r="E39" s="387"/>
      <c r="F39" s="387">
        <v>0.13654647995153993</v>
      </c>
      <c r="G39" s="387"/>
      <c r="H39" s="387"/>
      <c r="I39" s="387"/>
      <c r="J39" s="387">
        <v>0.12016090235735513</v>
      </c>
      <c r="K39" s="387"/>
      <c r="L39" s="387"/>
      <c r="M39" s="387"/>
      <c r="N39" s="387"/>
      <c r="O39" s="387"/>
      <c r="P39" s="388">
        <f>(1/100)*85.85664</f>
        <v>0.8585664</v>
      </c>
      <c r="Q39" s="388"/>
      <c r="R39" s="387">
        <v>0.058878842155104014</v>
      </c>
      <c r="S39" s="387"/>
      <c r="T39" s="387">
        <v>0.006894478004110541</v>
      </c>
      <c r="U39" s="387"/>
      <c r="V39" s="387">
        <v>0.002580990341045655</v>
      </c>
      <c r="W39" s="387"/>
      <c r="X39" s="387">
        <v>0.07316978567347379</v>
      </c>
      <c r="Y39" s="387"/>
      <c r="Z39" s="387"/>
      <c r="AA39" s="387"/>
      <c r="AB39" s="387"/>
      <c r="AC39" s="387"/>
      <c r="AD39" s="387">
        <v>0.044981425618938815</v>
      </c>
      <c r="AE39" s="387"/>
      <c r="AF39" s="387">
        <v>0.0002998761707929254</v>
      </c>
      <c r="AG39" s="387"/>
      <c r="AH39" s="382">
        <f>AF39/$AF$45</f>
        <v>0.00019634999633035607</v>
      </c>
      <c r="AJ39" s="182">
        <f>B39/AF39</f>
        <v>1388.2404949146974</v>
      </c>
      <c r="AK39" s="403"/>
      <c r="AL39" s="76"/>
    </row>
    <row r="40" spans="1:38" s="40" customFormat="1" ht="12.75">
      <c r="A40" s="389" t="s">
        <v>611</v>
      </c>
      <c r="B40" s="100">
        <v>3.5031296612798193</v>
      </c>
      <c r="C40" s="100"/>
      <c r="D40" s="100">
        <v>79.5</v>
      </c>
      <c r="E40" s="100"/>
      <c r="F40" s="100">
        <v>0.7181415805623629</v>
      </c>
      <c r="G40" s="100"/>
      <c r="H40" s="100">
        <v>12</v>
      </c>
      <c r="I40" s="100"/>
      <c r="J40" s="100">
        <v>0.6319645908948793</v>
      </c>
      <c r="K40" s="100"/>
      <c r="L40" s="100">
        <v>0</v>
      </c>
      <c r="M40" s="100"/>
      <c r="N40" s="100">
        <v>12</v>
      </c>
      <c r="O40" s="100"/>
      <c r="P40" s="390">
        <f>(1/100)*84.1248</f>
        <v>0.841248</v>
      </c>
      <c r="Q40" s="390"/>
      <c r="R40" s="100">
        <v>0.5561288399874937</v>
      </c>
      <c r="S40" s="100"/>
      <c r="T40" s="100">
        <v>0.06512047306645127</v>
      </c>
      <c r="U40" s="100"/>
      <c r="V40" s="100">
        <v>0.024378250519999728</v>
      </c>
      <c r="W40" s="100"/>
      <c r="X40" s="100">
        <v>0.6911112131167323</v>
      </c>
      <c r="Y40" s="100"/>
      <c r="Z40" s="100">
        <v>150</v>
      </c>
      <c r="AA40" s="100"/>
      <c r="AB40" s="100">
        <v>244</v>
      </c>
      <c r="AC40" s="100"/>
      <c r="AD40" s="100">
        <v>0.4248634506865157</v>
      </c>
      <c r="AE40" s="100"/>
      <c r="AF40" s="100">
        <v>0.0028324230045767714</v>
      </c>
      <c r="AG40" s="100"/>
      <c r="AH40" s="390"/>
      <c r="AK40" s="403"/>
      <c r="AL40" s="76"/>
    </row>
    <row r="41" spans="1:38" s="40" customFormat="1" ht="12.75">
      <c r="A41" s="389" t="s">
        <v>612</v>
      </c>
      <c r="B41" s="100">
        <v>0.41630024375469504</v>
      </c>
      <c r="C41" s="100"/>
      <c r="D41" s="100">
        <v>67.2</v>
      </c>
      <c r="E41" s="100"/>
      <c r="F41" s="100">
        <v>0.13654647995153993</v>
      </c>
      <c r="G41" s="100"/>
      <c r="H41" s="100">
        <v>12</v>
      </c>
      <c r="I41" s="100"/>
      <c r="J41" s="100">
        <v>0.12016090235735513</v>
      </c>
      <c r="K41" s="100"/>
      <c r="L41" s="100">
        <v>0</v>
      </c>
      <c r="M41" s="100"/>
      <c r="N41" s="100">
        <v>51</v>
      </c>
      <c r="O41" s="100"/>
      <c r="P41" s="390">
        <f>(1/100)*85.85664</f>
        <v>0.8585664</v>
      </c>
      <c r="Q41" s="390"/>
      <c r="R41" s="100">
        <v>0.058878842155104014</v>
      </c>
      <c r="S41" s="100"/>
      <c r="T41" s="100">
        <v>0.006894478004110541</v>
      </c>
      <c r="U41" s="100"/>
      <c r="V41" s="100">
        <v>0.002580990341045655</v>
      </c>
      <c r="W41" s="100"/>
      <c r="X41" s="100">
        <v>0.07316978567347379</v>
      </c>
      <c r="Y41" s="100"/>
      <c r="Z41" s="100">
        <v>150</v>
      </c>
      <c r="AA41" s="100"/>
      <c r="AB41" s="100">
        <v>244</v>
      </c>
      <c r="AC41" s="100"/>
      <c r="AD41" s="100">
        <v>0.044981425618938815</v>
      </c>
      <c r="AE41" s="100"/>
      <c r="AF41" s="100">
        <v>0.0002998761707929254</v>
      </c>
      <c r="AG41" s="100"/>
      <c r="AH41" s="390"/>
      <c r="AK41" s="403"/>
      <c r="AL41" s="76"/>
    </row>
    <row r="42" spans="1:38" s="40" customFormat="1" ht="12.75">
      <c r="A42" s="389"/>
      <c r="B42" s="100"/>
      <c r="C42" s="100"/>
      <c r="D42" s="100"/>
      <c r="E42" s="100"/>
      <c r="F42" s="100"/>
      <c r="G42" s="100"/>
      <c r="H42" s="100"/>
      <c r="I42" s="100"/>
      <c r="J42" s="100"/>
      <c r="K42" s="100"/>
      <c r="L42" s="100"/>
      <c r="M42" s="100"/>
      <c r="N42" s="100"/>
      <c r="O42" s="100"/>
      <c r="P42" s="390"/>
      <c r="Q42" s="390"/>
      <c r="R42" s="100"/>
      <c r="S42" s="100"/>
      <c r="T42" s="100"/>
      <c r="U42" s="100"/>
      <c r="V42" s="100"/>
      <c r="W42" s="100"/>
      <c r="X42" s="100"/>
      <c r="Y42" s="100"/>
      <c r="Z42" s="100"/>
      <c r="AA42" s="100"/>
      <c r="AB42" s="100"/>
      <c r="AC42" s="100"/>
      <c r="AD42" s="100"/>
      <c r="AE42" s="100"/>
      <c r="AF42" s="100"/>
      <c r="AG42" s="100"/>
      <c r="AH42" s="390"/>
      <c r="AK42" s="403"/>
      <c r="AL42" s="76"/>
    </row>
    <row r="43" spans="1:38" s="40" customFormat="1" ht="12.75">
      <c r="A43" s="386" t="s">
        <v>613</v>
      </c>
      <c r="B43" s="387">
        <v>2.4424355836436966</v>
      </c>
      <c r="C43" s="387"/>
      <c r="D43" s="387"/>
      <c r="E43" s="387"/>
      <c r="F43" s="387">
        <v>2.4424355836436966</v>
      </c>
      <c r="G43" s="387"/>
      <c r="H43" s="387"/>
      <c r="I43" s="387"/>
      <c r="J43" s="387">
        <v>2.149343313606453</v>
      </c>
      <c r="K43" s="387"/>
      <c r="L43" s="387"/>
      <c r="M43" s="387"/>
      <c r="N43" s="387"/>
      <c r="O43" s="387"/>
      <c r="P43" s="388">
        <f>(1/100)*26.4850812289098</f>
        <v>0.264850812289098</v>
      </c>
      <c r="Q43" s="388"/>
      <c r="R43" s="387">
        <v>1.7955033943026577</v>
      </c>
      <c r="S43" s="387"/>
      <c r="T43" s="387"/>
      <c r="U43" s="387"/>
      <c r="V43" s="387">
        <v>0.07870699810641787</v>
      </c>
      <c r="W43" s="387"/>
      <c r="X43" s="387">
        <v>2.2313040428178934</v>
      </c>
      <c r="Y43" s="387"/>
      <c r="Z43" s="387">
        <f>AD43/AF43</f>
        <v>356.2630139041001</v>
      </c>
      <c r="AA43" s="387"/>
      <c r="AB43" s="387"/>
      <c r="AC43" s="387"/>
      <c r="AD43" s="387">
        <v>1.758697131041385</v>
      </c>
      <c r="AE43" s="387"/>
      <c r="AF43" s="387">
        <v>0.004936513369066137</v>
      </c>
      <c r="AG43" s="387"/>
      <c r="AH43" s="382">
        <f>AF43/$AF$45</f>
        <v>0.0032322821094384765</v>
      </c>
      <c r="AJ43" s="182">
        <f>B43/AF43</f>
        <v>494.7693647400662</v>
      </c>
      <c r="AK43" s="403">
        <f>AH43*3</f>
        <v>0.009696846328315429</v>
      </c>
      <c r="AL43" s="76">
        <f>AK43*280</f>
        <v>2.71511697192832</v>
      </c>
    </row>
    <row r="44" spans="1:38" s="40" customFormat="1" ht="13.5" thickBot="1">
      <c r="A44" s="7"/>
      <c r="B44" s="393"/>
      <c r="C44" s="393"/>
      <c r="D44" s="393"/>
      <c r="E44" s="393"/>
      <c r="F44" s="393"/>
      <c r="G44" s="393"/>
      <c r="H44" s="393"/>
      <c r="I44" s="393"/>
      <c r="J44" s="393"/>
      <c r="K44" s="393"/>
      <c r="L44" s="393"/>
      <c r="M44" s="393"/>
      <c r="N44" s="393"/>
      <c r="O44" s="393"/>
      <c r="P44" s="167"/>
      <c r="Q44" s="167"/>
      <c r="R44" s="393"/>
      <c r="S44" s="393"/>
      <c r="T44" s="393"/>
      <c r="U44" s="393"/>
      <c r="V44" s="393"/>
      <c r="W44" s="393"/>
      <c r="X44" s="393"/>
      <c r="Y44" s="393"/>
      <c r="Z44" s="393"/>
      <c r="AA44" s="393"/>
      <c r="AB44" s="393"/>
      <c r="AC44" s="393"/>
      <c r="AD44" s="393"/>
      <c r="AE44" s="393"/>
      <c r="AF44" s="393"/>
      <c r="AG44" s="393"/>
      <c r="AH44" s="347"/>
      <c r="AK44" s="403"/>
      <c r="AL44" s="76"/>
    </row>
    <row r="45" spans="1:38" s="14" customFormat="1" ht="13.5" thickBot="1">
      <c r="A45" s="394" t="s">
        <v>614</v>
      </c>
      <c r="B45" s="395">
        <v>256.47881726932184</v>
      </c>
      <c r="C45" s="395"/>
      <c r="D45" s="395"/>
      <c r="E45" s="395"/>
      <c r="F45" s="395">
        <v>256.19906350551867</v>
      </c>
      <c r="G45" s="395"/>
      <c r="H45" s="395"/>
      <c r="I45" s="395"/>
      <c r="J45" s="395">
        <v>227.6710698992616</v>
      </c>
      <c r="K45" s="395"/>
      <c r="L45" s="395"/>
      <c r="M45" s="395"/>
      <c r="N45" s="395"/>
      <c r="O45" s="395"/>
      <c r="P45" s="396">
        <f>(1/100)*31.1835742680749</f>
        <v>0.311835742680749</v>
      </c>
      <c r="Q45" s="396"/>
      <c r="R45" s="395">
        <v>176.4999585079175</v>
      </c>
      <c r="S45" s="395"/>
      <c r="T45" s="395"/>
      <c r="U45" s="395"/>
      <c r="V45" s="395">
        <v>7.736984482538851</v>
      </c>
      <c r="W45" s="395"/>
      <c r="X45" s="395">
        <v>219.33964158773512</v>
      </c>
      <c r="Y45" s="395"/>
      <c r="Z45" s="395"/>
      <c r="AA45" s="395"/>
      <c r="AB45" s="395"/>
      <c r="AC45" s="395"/>
      <c r="AD45" s="395">
        <v>232.7725068827548</v>
      </c>
      <c r="AE45" s="395"/>
      <c r="AF45" s="984">
        <v>1.527253253870135</v>
      </c>
      <c r="AG45" s="265"/>
      <c r="AH45" s="184"/>
      <c r="AJ45" s="182">
        <f>B45/AF45</f>
        <v>167.93470016802507</v>
      </c>
      <c r="AK45" s="166">
        <f>SUM(AK10:AK43)</f>
        <v>2.9994109500110087</v>
      </c>
      <c r="AL45" s="17">
        <f>SUM(AL10:AL43)</f>
        <v>324.90326767385295</v>
      </c>
    </row>
    <row r="46" spans="2:38" s="14" customFormat="1" ht="12.75">
      <c r="B46" s="265"/>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184"/>
      <c r="AK46" s="272"/>
      <c r="AL46" s="17">
        <f>AL45-Diet!B40</f>
        <v>324.90326767385295</v>
      </c>
    </row>
    <row r="47" spans="2:33" ht="12.75">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row>
    <row r="48" spans="2:33" ht="12.75">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row>
    <row r="49" spans="2:33" ht="12.75">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row>
  </sheetData>
  <sheetProtection/>
  <mergeCells count="37">
    <mergeCell ref="AJ4:AJ7"/>
    <mergeCell ref="X8:Y8"/>
    <mergeCell ref="Z8:AA8"/>
    <mergeCell ref="AB8:AC8"/>
    <mergeCell ref="AD8:AE8"/>
    <mergeCell ref="AF8:AG8"/>
    <mergeCell ref="AF4:AG7"/>
    <mergeCell ref="AH4:AH7"/>
    <mergeCell ref="AI4:AI7"/>
    <mergeCell ref="P4:Q7"/>
    <mergeCell ref="R4:Y7"/>
    <mergeCell ref="Z4:AA7"/>
    <mergeCell ref="AB4:AC7"/>
    <mergeCell ref="L8:M8"/>
    <mergeCell ref="N8:O8"/>
    <mergeCell ref="P8:Q8"/>
    <mergeCell ref="R8:S8"/>
    <mergeCell ref="T8:U8"/>
    <mergeCell ref="V8:W8"/>
    <mergeCell ref="B8:C8"/>
    <mergeCell ref="D8:E8"/>
    <mergeCell ref="F8:G8"/>
    <mergeCell ref="H8:I8"/>
    <mergeCell ref="J8:K8"/>
    <mergeCell ref="L4:O4"/>
    <mergeCell ref="L5:M7"/>
    <mergeCell ref="N5:O7"/>
    <mergeCell ref="AK4:AL4"/>
    <mergeCell ref="AL5:AL7"/>
    <mergeCell ref="AK5:AK7"/>
    <mergeCell ref="AD4:AE7"/>
    <mergeCell ref="A4:A7"/>
    <mergeCell ref="B4:C7"/>
    <mergeCell ref="D4:E7"/>
    <mergeCell ref="F4:G7"/>
    <mergeCell ref="H4:I7"/>
    <mergeCell ref="J4:K7"/>
  </mergeCell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N6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E28" sqref="E28"/>
    </sheetView>
  </sheetViews>
  <sheetFormatPr defaultColWidth="11.421875" defaultRowHeight="12.75"/>
  <cols>
    <col min="1" max="1" width="19.140625" style="19" customWidth="1"/>
    <col min="2" max="2" width="8.8515625" style="19" customWidth="1"/>
    <col min="3" max="3" width="15.7109375" style="19" bestFit="1" customWidth="1"/>
    <col min="4" max="4" width="16.140625" style="19" customWidth="1"/>
    <col min="5" max="5" width="15.140625" style="19" customWidth="1"/>
    <col min="6" max="6" width="9.7109375" style="82" customWidth="1"/>
    <col min="7" max="7" width="9.8515625" style="82" customWidth="1"/>
    <col min="8" max="8" width="8.28125" style="82" customWidth="1"/>
    <col min="9" max="9" width="7.421875" style="82" customWidth="1"/>
    <col min="10" max="10" width="14.140625" style="19" customWidth="1"/>
    <col min="11" max="12" width="10.421875" style="19" customWidth="1"/>
    <col min="13" max="13" width="11.421875" style="19" customWidth="1"/>
    <col min="14" max="14" width="11.421875" style="19" bestFit="1" customWidth="1"/>
    <col min="15" max="16384" width="11.421875" style="19" customWidth="1"/>
  </cols>
  <sheetData>
    <row r="1" ht="15.75">
      <c r="A1" s="115" t="s">
        <v>276</v>
      </c>
    </row>
    <row r="2" ht="12.75">
      <c r="A2" s="14" t="s">
        <v>385</v>
      </c>
    </row>
    <row r="3" spans="5:9" ht="12.75">
      <c r="E3" s="80"/>
      <c r="F3" s="254"/>
      <c r="G3" s="254"/>
      <c r="H3" s="254"/>
      <c r="I3" s="254"/>
    </row>
    <row r="4" spans="2:12" ht="12.75">
      <c r="B4" s="1303" t="s">
        <v>123</v>
      </c>
      <c r="C4" s="1303"/>
      <c r="D4" s="1304" t="s">
        <v>202</v>
      </c>
      <c r="E4" s="1305"/>
      <c r="F4" s="1306" t="s">
        <v>203</v>
      </c>
      <c r="G4" s="1307"/>
      <c r="H4" s="1307"/>
      <c r="I4" s="1307"/>
      <c r="J4" s="1308" t="s">
        <v>204</v>
      </c>
      <c r="K4" s="1309"/>
      <c r="L4" s="1309"/>
    </row>
    <row r="5" spans="2:12" s="145" customFormat="1" ht="51">
      <c r="B5" s="145" t="s">
        <v>327</v>
      </c>
      <c r="C5" s="145" t="s">
        <v>274</v>
      </c>
      <c r="D5" s="1060" t="s">
        <v>205</v>
      </c>
      <c r="E5" s="145" t="s">
        <v>53</v>
      </c>
      <c r="F5" s="1061" t="s">
        <v>206</v>
      </c>
      <c r="G5" s="1062" t="s">
        <v>207</v>
      </c>
      <c r="H5" s="1063" t="s">
        <v>208</v>
      </c>
      <c r="I5" s="1063" t="s">
        <v>209</v>
      </c>
      <c r="J5" s="1064" t="s">
        <v>210</v>
      </c>
      <c r="K5" s="145" t="s">
        <v>211</v>
      </c>
      <c r="L5" s="1065" t="s">
        <v>212</v>
      </c>
    </row>
    <row r="6" spans="1:12" s="1092" customFormat="1" ht="12.75">
      <c r="A6" s="1083" t="s">
        <v>54</v>
      </c>
      <c r="B6" s="1084">
        <f>Protein!D8</f>
        <v>0.5488561845086742</v>
      </c>
      <c r="C6" s="1085">
        <f>Cattle!I51</f>
        <v>111401652.0522066</v>
      </c>
      <c r="D6" s="1086" t="s">
        <v>63</v>
      </c>
      <c r="E6" s="1085">
        <f>SUM(E7:E11)</f>
        <v>593392.9108051963</v>
      </c>
      <c r="F6" s="1087"/>
      <c r="G6" s="1088"/>
      <c r="H6" s="1089">
        <f>((H7*E7)+(H8*E8)+(H9*E9)+(H10*E10)+(H11*E11))/E6</f>
        <v>1.1435606060606063</v>
      </c>
      <c r="I6" s="1090">
        <f>((I7*E7)+(I8*E8)+(I9*E9)+(I10*E10)+(I11*E11))/E6</f>
        <v>0.5694128787878788</v>
      </c>
      <c r="J6" s="1085">
        <f>SUM(J7:J11)</f>
        <v>14036.992765472325</v>
      </c>
      <c r="K6" s="1085">
        <f>SUM(K7:K11)</f>
        <v>678580.7567124575</v>
      </c>
      <c r="L6" s="1091">
        <f>SUM(L7:L11)</f>
        <v>337885.5655939058</v>
      </c>
    </row>
    <row r="7" spans="1:12" ht="12.75">
      <c r="A7" s="86"/>
      <c r="B7" s="19" t="s">
        <v>362</v>
      </c>
      <c r="C7" s="1093">
        <f>C6+C13</f>
        <v>416228122.6404419</v>
      </c>
      <c r="D7" s="146" t="s">
        <v>213</v>
      </c>
      <c r="E7" s="37">
        <f>Cattle!F40</f>
        <v>224770.04197166528</v>
      </c>
      <c r="F7" s="426">
        <f>8*40</f>
        <v>320</v>
      </c>
      <c r="G7" s="78">
        <f>C57</f>
        <v>5124.061444831319</v>
      </c>
      <c r="H7" s="393">
        <v>2</v>
      </c>
      <c r="I7" s="393">
        <v>1</v>
      </c>
      <c r="J7" s="68">
        <f>(E7*F7)/G7</f>
        <v>14036.992765472325</v>
      </c>
      <c r="K7" s="37">
        <f>(E7*H7)</f>
        <v>449540.08394333057</v>
      </c>
      <c r="L7" s="1066">
        <f>E7*I7</f>
        <v>224770.04197166528</v>
      </c>
    </row>
    <row r="8" spans="1:12" ht="12.75">
      <c r="A8" s="86"/>
      <c r="C8" s="80"/>
      <c r="D8" s="146" t="s">
        <v>214</v>
      </c>
      <c r="E8" s="37">
        <f>Cattle!F41</f>
        <v>5619.251049291633</v>
      </c>
      <c r="F8" s="426">
        <v>0</v>
      </c>
      <c r="G8" s="78"/>
      <c r="H8" s="393">
        <v>2</v>
      </c>
      <c r="I8" s="393">
        <v>0.75</v>
      </c>
      <c r="J8" s="68"/>
      <c r="K8" s="37">
        <f>(E8*H8)</f>
        <v>11238.502098583265</v>
      </c>
      <c r="L8" s="1066">
        <f>E8*I8</f>
        <v>4214.438286968724</v>
      </c>
    </row>
    <row r="9" spans="3:12" ht="12.75">
      <c r="C9" s="165"/>
      <c r="D9" s="146" t="s">
        <v>215</v>
      </c>
      <c r="E9" s="37">
        <f>Cattle!F42</f>
        <v>181501.8088921197</v>
      </c>
      <c r="F9" s="426">
        <v>0</v>
      </c>
      <c r="G9" s="78"/>
      <c r="H9" s="393">
        <v>0.4</v>
      </c>
      <c r="I9" s="393">
        <v>0.2</v>
      </c>
      <c r="J9" s="68"/>
      <c r="K9" s="37">
        <f>(E9*H9)</f>
        <v>72600.72355684788</v>
      </c>
      <c r="L9" s="1066">
        <f>E9*I9</f>
        <v>36300.36177842394</v>
      </c>
    </row>
    <row r="10" spans="3:12" ht="12.75">
      <c r="C10" s="80"/>
      <c r="D10" s="146" t="s">
        <v>216</v>
      </c>
      <c r="E10" s="37">
        <f>Cattle!F46</f>
        <v>130928.54944849502</v>
      </c>
      <c r="F10" s="426">
        <v>0</v>
      </c>
      <c r="G10" s="422"/>
      <c r="H10" s="393">
        <v>0.8</v>
      </c>
      <c r="I10" s="393">
        <v>0.4</v>
      </c>
      <c r="J10" s="260"/>
      <c r="K10" s="37">
        <f>(E10*H10)</f>
        <v>104742.83955879603</v>
      </c>
      <c r="L10" s="1066">
        <f>E10*I10</f>
        <v>52371.41977939801</v>
      </c>
    </row>
    <row r="11" spans="4:12" ht="12.75">
      <c r="D11" s="146" t="s">
        <v>217</v>
      </c>
      <c r="E11" s="37">
        <f>Cattle!F43</f>
        <v>50573.25944362469</v>
      </c>
      <c r="F11" s="426">
        <v>0</v>
      </c>
      <c r="G11" s="78"/>
      <c r="H11" s="393">
        <v>0.8</v>
      </c>
      <c r="I11" s="393">
        <v>0.4</v>
      </c>
      <c r="J11" s="68"/>
      <c r="K11" s="37">
        <f>(E11*H11)</f>
        <v>40458.607554899754</v>
      </c>
      <c r="L11" s="1066">
        <f>E11*I11</f>
        <v>20229.303777449877</v>
      </c>
    </row>
    <row r="12" spans="1:12" s="1094" customFormat="1" ht="12.75">
      <c r="A12" s="1094" t="s">
        <v>138</v>
      </c>
      <c r="B12" s="1095">
        <f>Dairy!D19</f>
        <v>1.531716697916057</v>
      </c>
      <c r="C12" s="1096">
        <f>Dairy!C8</f>
        <v>8400000000</v>
      </c>
      <c r="D12" s="1097" t="s">
        <v>63</v>
      </c>
      <c r="E12" s="1098"/>
      <c r="F12" s="1099"/>
      <c r="G12" s="1098"/>
      <c r="H12" s="1089"/>
      <c r="I12" s="1100"/>
      <c r="J12" s="1101">
        <f>SUM(J13:J17)</f>
        <v>284930.2288271179</v>
      </c>
      <c r="K12" s="1101">
        <f>SUM(K13:K17)</f>
        <v>2119294.117647059</v>
      </c>
      <c r="L12" s="1102">
        <f>SUM(L13:L17)</f>
        <v>1056705.8823529412</v>
      </c>
    </row>
    <row r="13" spans="2:12" ht="12.75">
      <c r="B13" s="19" t="s">
        <v>360</v>
      </c>
      <c r="C13" s="37">
        <f>Cattle!J18</f>
        <v>304826470.5882353</v>
      </c>
      <c r="D13" s="146" t="s">
        <v>213</v>
      </c>
      <c r="E13" s="37">
        <f>Cattle!F5</f>
        <v>705882.3529411765</v>
      </c>
      <c r="F13" s="426">
        <f>2920*(10/12)</f>
        <v>2433.3333333333335</v>
      </c>
      <c r="G13" s="78">
        <f>C57</f>
        <v>5124.061444831319</v>
      </c>
      <c r="H13" s="790">
        <v>2</v>
      </c>
      <c r="I13" s="790">
        <v>1</v>
      </c>
      <c r="J13" s="68">
        <f>(Cattle!B7*F13)/G13</f>
        <v>284930.2288271179</v>
      </c>
      <c r="K13" s="37">
        <f aca="true" t="shared" si="0" ref="K13:K20">(E13*H13)</f>
        <v>1411764.705882353</v>
      </c>
      <c r="L13" s="1066">
        <f aca="true" t="shared" si="1" ref="L13:L20">E13*I13</f>
        <v>705882.3529411765</v>
      </c>
    </row>
    <row r="14" spans="3:12" ht="12.75">
      <c r="C14" s="165"/>
      <c r="D14" s="146" t="s">
        <v>214</v>
      </c>
      <c r="E14" s="37">
        <f>Cattle!F7</f>
        <v>11764.705882352942</v>
      </c>
      <c r="F14" s="426">
        <v>0</v>
      </c>
      <c r="G14" s="78"/>
      <c r="H14" s="393">
        <v>2</v>
      </c>
      <c r="I14" s="393">
        <v>0.75</v>
      </c>
      <c r="J14" s="260"/>
      <c r="K14" s="37">
        <f t="shared" si="0"/>
        <v>23529.411764705885</v>
      </c>
      <c r="L14" s="1066">
        <f t="shared" si="1"/>
        <v>8823.529411764706</v>
      </c>
    </row>
    <row r="15" spans="3:12" ht="12.75">
      <c r="C15" s="80"/>
      <c r="D15" s="146" t="s">
        <v>215</v>
      </c>
      <c r="E15" s="37">
        <f>Cattle!F8</f>
        <v>570000</v>
      </c>
      <c r="F15" s="426">
        <v>0</v>
      </c>
      <c r="H15" s="393">
        <v>0.4</v>
      </c>
      <c r="I15" s="393">
        <v>0.2</v>
      </c>
      <c r="J15" s="68"/>
      <c r="K15" s="37">
        <f t="shared" si="0"/>
        <v>228000</v>
      </c>
      <c r="L15" s="1066">
        <f t="shared" si="1"/>
        <v>114000</v>
      </c>
    </row>
    <row r="16" spans="3:12" ht="12.75">
      <c r="C16" s="80"/>
      <c r="D16" s="146" t="s">
        <v>216</v>
      </c>
      <c r="E16" s="37">
        <f>Cattle!F14+Cattle!F13</f>
        <v>411176.4705882353</v>
      </c>
      <c r="F16" s="426">
        <v>0</v>
      </c>
      <c r="G16" s="186"/>
      <c r="H16" s="393">
        <v>0.8</v>
      </c>
      <c r="I16" s="393">
        <v>0.4</v>
      </c>
      <c r="J16" s="68"/>
      <c r="K16" s="37">
        <f t="shared" si="0"/>
        <v>328941.17647058825</v>
      </c>
      <c r="L16" s="1066">
        <f t="shared" si="1"/>
        <v>164470.58823529413</v>
      </c>
    </row>
    <row r="17" spans="4:12" ht="12.75">
      <c r="D17" s="146" t="s">
        <v>217</v>
      </c>
      <c r="E17" s="37">
        <f>Cattle!F10+Cattle!F11</f>
        <v>158823.5294117647</v>
      </c>
      <c r="F17" s="426">
        <v>0</v>
      </c>
      <c r="H17" s="393">
        <v>0.8</v>
      </c>
      <c r="I17" s="393">
        <v>0.4</v>
      </c>
      <c r="J17" s="68"/>
      <c r="K17" s="37">
        <f t="shared" si="0"/>
        <v>127058.82352941176</v>
      </c>
      <c r="L17" s="1066">
        <f t="shared" si="1"/>
        <v>63529.41176470588</v>
      </c>
    </row>
    <row r="18" spans="1:12" s="1094" customFormat="1" ht="12.75">
      <c r="A18" s="1094" t="s">
        <v>219</v>
      </c>
      <c r="B18" s="1103">
        <f>Protein!D9</f>
        <v>0.08571428571428572</v>
      </c>
      <c r="C18" s="1104">
        <f>Protein!H9</f>
        <v>72004103.58110403</v>
      </c>
      <c r="D18" s="1105" t="s">
        <v>63</v>
      </c>
      <c r="E18" s="1098">
        <f>SUM(E19:E22)</f>
        <v>2241210.9519547736</v>
      </c>
      <c r="F18" s="1099"/>
      <c r="G18" s="1088"/>
      <c r="H18" s="1106"/>
      <c r="I18" s="1090"/>
      <c r="J18" s="1096">
        <f>SUM(J19:J22)</f>
        <v>8121.291460579581</v>
      </c>
      <c r="K18" s="1101">
        <f>SUM(K19:K22)</f>
        <v>202125.12564048354</v>
      </c>
      <c r="L18" s="1102">
        <f>SUM(L19:L22)</f>
        <v>101062.56282024177</v>
      </c>
    </row>
    <row r="19" spans="4:12" ht="12.75">
      <c r="D19" s="146" t="s">
        <v>213</v>
      </c>
      <c r="E19" s="37">
        <f>Lamb!F5</f>
        <v>990809.439414135</v>
      </c>
      <c r="F19" s="426">
        <v>42</v>
      </c>
      <c r="G19" s="78">
        <f>C57</f>
        <v>5124.061444831319</v>
      </c>
      <c r="H19" s="254">
        <v>0.2</v>
      </c>
      <c r="I19" s="815">
        <v>0.1</v>
      </c>
      <c r="J19" s="68">
        <f>(E19*F19)/G19</f>
        <v>8121.291460579581</v>
      </c>
      <c r="K19" s="37">
        <f t="shared" si="0"/>
        <v>198161.887882827</v>
      </c>
      <c r="L19" s="1066">
        <f t="shared" si="1"/>
        <v>99080.9439414135</v>
      </c>
    </row>
    <row r="20" spans="1:12" ht="12.75">
      <c r="A20" s="1083"/>
      <c r="C20" s="80"/>
      <c r="D20" s="146" t="s">
        <v>214</v>
      </c>
      <c r="E20" s="37">
        <f>Lamb!F6</f>
        <v>19816.1887882827</v>
      </c>
      <c r="F20" s="426">
        <v>0</v>
      </c>
      <c r="H20" s="254">
        <v>0.2</v>
      </c>
      <c r="I20" s="422">
        <v>0.1</v>
      </c>
      <c r="J20" s="68"/>
      <c r="K20" s="37">
        <f t="shared" si="0"/>
        <v>3963.23775765654</v>
      </c>
      <c r="L20" s="1066">
        <f t="shared" si="1"/>
        <v>1981.61887882827</v>
      </c>
    </row>
    <row r="21" spans="4:12" ht="12.75">
      <c r="D21" s="146" t="s">
        <v>220</v>
      </c>
      <c r="E21" s="78">
        <f>Lamb!F9</f>
        <v>1078000.6700825791</v>
      </c>
      <c r="F21" s="426">
        <v>0</v>
      </c>
      <c r="H21" s="82">
        <v>0.15</v>
      </c>
      <c r="I21" s="422"/>
      <c r="J21" s="68"/>
      <c r="K21" s="37"/>
      <c r="L21" s="1066"/>
    </row>
    <row r="22" spans="4:12" ht="12.75">
      <c r="D22" s="146" t="s">
        <v>221</v>
      </c>
      <c r="E22" s="37">
        <f>Lamb!F8</f>
        <v>152584.65366977677</v>
      </c>
      <c r="F22" s="426">
        <v>0</v>
      </c>
      <c r="H22" s="254">
        <v>0.2</v>
      </c>
      <c r="I22" s="422">
        <v>0.1</v>
      </c>
      <c r="J22" s="68"/>
      <c r="K22" s="37"/>
      <c r="L22" s="1066"/>
    </row>
    <row r="23" spans="1:12" s="1088" customFormat="1" ht="12.75">
      <c r="A23" s="1088" t="s">
        <v>117</v>
      </c>
      <c r="B23" s="1107">
        <f>Protein!D10</f>
        <v>0.6</v>
      </c>
      <c r="C23" s="1108">
        <f>Protein!H10</f>
        <v>470037156.07224464</v>
      </c>
      <c r="D23" s="1105" t="s">
        <v>63</v>
      </c>
      <c r="E23" s="1109">
        <f>SUM(E24:E27)</f>
        <v>2771361.089966138</v>
      </c>
      <c r="F23" s="1099"/>
      <c r="I23" s="1089"/>
      <c r="J23" s="1099">
        <f>SUM(J24:J27)</f>
        <v>457591.4482834603</v>
      </c>
      <c r="K23" s="1110"/>
      <c r="L23" s="1111"/>
    </row>
    <row r="24" spans="3:12" ht="12.75">
      <c r="C24" s="59"/>
      <c r="D24" s="146" t="s">
        <v>213</v>
      </c>
      <c r="E24" s="37">
        <f>Pigs!F4</f>
        <v>160845.1009846859</v>
      </c>
      <c r="F24" s="426">
        <v>2204</v>
      </c>
      <c r="G24" s="78">
        <f>C57</f>
        <v>5124.061444831319</v>
      </c>
      <c r="H24" s="186"/>
      <c r="J24" s="68">
        <f>(E24*F24)/G24</f>
        <v>69183.90936311611</v>
      </c>
      <c r="K24" s="37"/>
      <c r="L24" s="1066"/>
    </row>
    <row r="25" spans="4:12" ht="12.75">
      <c r="D25" s="146" t="s">
        <v>214</v>
      </c>
      <c r="E25" s="37">
        <f>Pigs!F5</f>
        <v>4825.353029540577</v>
      </c>
      <c r="F25" s="426">
        <v>2204</v>
      </c>
      <c r="G25" s="78">
        <f>C57</f>
        <v>5124.061444831319</v>
      </c>
      <c r="H25" s="186"/>
      <c r="J25" s="68">
        <f aca="true" t="shared" si="2" ref="J25:J43">(E25*F25)/G25</f>
        <v>2075.517280893483</v>
      </c>
      <c r="K25" s="37"/>
      <c r="L25" s="1066"/>
    </row>
    <row r="26" spans="2:12" ht="12.75">
      <c r="B26" s="37"/>
      <c r="C26" s="80"/>
      <c r="D26" s="146" t="s">
        <v>222</v>
      </c>
      <c r="E26" s="37">
        <f>Pigs!F8</f>
        <v>2571929.249255226</v>
      </c>
      <c r="F26" s="1067">
        <v>750</v>
      </c>
      <c r="G26" s="78">
        <f>C57</f>
        <v>5124.061444831319</v>
      </c>
      <c r="H26" s="78"/>
      <c r="I26" s="78"/>
      <c r="J26" s="68">
        <f t="shared" si="2"/>
        <v>376448.83023156633</v>
      </c>
      <c r="K26" s="37"/>
      <c r="L26" s="1066"/>
    </row>
    <row r="27" spans="2:12" ht="12.75">
      <c r="B27" s="31"/>
      <c r="D27" s="146" t="s">
        <v>223</v>
      </c>
      <c r="E27" s="37">
        <f>Pigs!F7</f>
        <v>33761.38669668558</v>
      </c>
      <c r="F27" s="1067">
        <v>1500</v>
      </c>
      <c r="G27" s="78">
        <f>C57</f>
        <v>5124.061444831319</v>
      </c>
      <c r="H27" s="186"/>
      <c r="J27" s="68">
        <f t="shared" si="2"/>
        <v>9883.191407884351</v>
      </c>
      <c r="K27" s="37"/>
      <c r="L27" s="1066"/>
    </row>
    <row r="28" spans="1:12" s="1094" customFormat="1" ht="12.75">
      <c r="A28" s="1094" t="s">
        <v>224</v>
      </c>
      <c r="B28" s="1112">
        <f>Protein!D11</f>
        <v>0.47264608539348235</v>
      </c>
      <c r="C28" s="1113">
        <f>Protein!H11</f>
        <v>5033694701.78898</v>
      </c>
      <c r="D28" s="1105" t="s">
        <v>63</v>
      </c>
      <c r="E28" s="1109">
        <f>SUM(E29:E31)</f>
        <v>24792969.387624294</v>
      </c>
      <c r="F28" s="1114"/>
      <c r="G28" s="1088"/>
      <c r="H28" s="1088"/>
      <c r="I28" s="1088"/>
      <c r="J28" s="1115">
        <f>SUM(J29:J31)</f>
        <v>315029.8081274336</v>
      </c>
      <c r="L28" s="1116"/>
    </row>
    <row r="29" spans="4:12" ht="12.75">
      <c r="D29" s="146" t="s">
        <v>213</v>
      </c>
      <c r="E29" s="37">
        <f>Chickens!F5</f>
        <v>18425022.88258911</v>
      </c>
      <c r="F29" s="1067">
        <v>80</v>
      </c>
      <c r="G29" s="78">
        <f>C57</f>
        <v>5124.061444831319</v>
      </c>
      <c r="J29" s="68">
        <f t="shared" si="2"/>
        <v>287662.7937578629</v>
      </c>
      <c r="L29" s="1068"/>
    </row>
    <row r="30" spans="3:12" ht="12.75">
      <c r="C30" s="80"/>
      <c r="D30" s="146" t="s">
        <v>214</v>
      </c>
      <c r="E30" s="37">
        <f>Chickens!F6</f>
        <v>646492.030968039</v>
      </c>
      <c r="F30" s="1067">
        <v>80</v>
      </c>
      <c r="G30" s="78">
        <f>C57</f>
        <v>5124.061444831319</v>
      </c>
      <c r="J30" s="68">
        <f t="shared" si="2"/>
        <v>10093.431359925014</v>
      </c>
      <c r="L30" s="1068"/>
    </row>
    <row r="31" spans="2:12" ht="12.75">
      <c r="B31" s="80"/>
      <c r="C31" s="244"/>
      <c r="D31" s="146" t="s">
        <v>223</v>
      </c>
      <c r="E31" s="37">
        <f>Chickens!F7</f>
        <v>5721454.474067144</v>
      </c>
      <c r="F31" s="1070">
        <f>0.13*17*7</f>
        <v>15.469999999999999</v>
      </c>
      <c r="G31" s="78">
        <f>C57</f>
        <v>5124.061444831319</v>
      </c>
      <c r="J31" s="68">
        <f>(E31*F31)/G31</f>
        <v>17273.58300964567</v>
      </c>
      <c r="L31" s="1068"/>
    </row>
    <row r="32" spans="4:12" ht="12.75" hidden="1">
      <c r="D32" s="146" t="s">
        <v>275</v>
      </c>
      <c r="E32" s="1069" t="s">
        <v>88</v>
      </c>
      <c r="F32" s="1067"/>
      <c r="J32" s="68" t="e">
        <f t="shared" si="2"/>
        <v>#VALUE!</v>
      </c>
      <c r="L32" s="1068"/>
    </row>
    <row r="33" spans="1:12" s="1094" customFormat="1" ht="12.75">
      <c r="A33" s="1094" t="s">
        <v>118</v>
      </c>
      <c r="B33" s="1117">
        <f>Protein!D12</f>
        <v>2.100394374082968</v>
      </c>
      <c r="C33" s="1113">
        <f>Protein!H12</f>
        <v>1657701795.3882456</v>
      </c>
      <c r="D33" s="1105" t="s">
        <v>63</v>
      </c>
      <c r="E33" s="1109">
        <f>SUM(E34:E37)</f>
        <v>330439693.0475802</v>
      </c>
      <c r="F33" s="1118"/>
      <c r="G33" s="1095"/>
      <c r="H33" s="1088"/>
      <c r="I33" s="1088"/>
      <c r="J33" s="1115">
        <f>SUM(J34:J37)</f>
        <v>1145427.483999742</v>
      </c>
      <c r="L33" s="1116"/>
    </row>
    <row r="34" spans="4:12" ht="12.75">
      <c r="D34" s="146" t="s">
        <v>213</v>
      </c>
      <c r="E34" s="37">
        <f>Chickens!F25</f>
        <v>2422312.0114912596</v>
      </c>
      <c r="F34" s="1070">
        <v>109.5</v>
      </c>
      <c r="G34" s="78">
        <f>C57</f>
        <v>5124.061444831319</v>
      </c>
      <c r="H34" s="254"/>
      <c r="J34" s="68">
        <f t="shared" si="2"/>
        <v>51764.24367936606</v>
      </c>
      <c r="L34" s="1068"/>
    </row>
    <row r="35" spans="4:12" ht="12.75">
      <c r="D35" s="146" t="s">
        <v>214</v>
      </c>
      <c r="E35" s="37">
        <f>Chickens!F26</f>
        <v>242231.20114912596</v>
      </c>
      <c r="F35" s="1070">
        <v>109.5</v>
      </c>
      <c r="G35" s="78">
        <f>C57</f>
        <v>5124.061444831319</v>
      </c>
      <c r="J35" s="68">
        <f t="shared" si="2"/>
        <v>5176.424367936606</v>
      </c>
      <c r="L35" s="1068"/>
    </row>
    <row r="36" spans="4:12" ht="12.75">
      <c r="D36" s="146" t="s">
        <v>222</v>
      </c>
      <c r="E36" s="37">
        <f>Chickens!F31</f>
        <v>326975786.87114763</v>
      </c>
      <c r="F36" s="1070">
        <v>17</v>
      </c>
      <c r="G36" s="78">
        <f>C57</f>
        <v>5124.061444831319</v>
      </c>
      <c r="J36" s="68">
        <f t="shared" si="2"/>
        <v>1084801.2727123913</v>
      </c>
      <c r="L36" s="1066"/>
    </row>
    <row r="37" spans="4:12" ht="12.75">
      <c r="D37" s="146" t="s">
        <v>223</v>
      </c>
      <c r="E37" s="37">
        <f>Chickens!F28</f>
        <v>799362.9637921156</v>
      </c>
      <c r="F37" s="1070">
        <f>0.15*18*7*1.25</f>
        <v>23.625</v>
      </c>
      <c r="G37" s="78">
        <f>C57</f>
        <v>5124.061444831319</v>
      </c>
      <c r="J37" s="68">
        <f t="shared" si="2"/>
        <v>3685.543240048015</v>
      </c>
      <c r="L37" s="1068"/>
    </row>
    <row r="38" spans="4:12" ht="12.75" hidden="1">
      <c r="D38" s="146" t="s">
        <v>275</v>
      </c>
      <c r="E38" s="1069" t="s">
        <v>88</v>
      </c>
      <c r="F38" s="1067"/>
      <c r="J38" s="68" t="e">
        <f t="shared" si="2"/>
        <v>#VALUE!</v>
      </c>
      <c r="L38" s="1068"/>
    </row>
    <row r="39" spans="1:12" s="1094" customFormat="1" ht="12.75">
      <c r="A39" s="1094" t="s">
        <v>58</v>
      </c>
      <c r="B39" s="1103">
        <f>Protein!D13</f>
        <v>0.3696149851240257</v>
      </c>
      <c r="C39" s="1113">
        <f>Protein!H13</f>
        <v>289153321.6270657</v>
      </c>
      <c r="D39" s="1105" t="s">
        <v>63</v>
      </c>
      <c r="E39" s="1109"/>
      <c r="F39" s="1114"/>
      <c r="G39" s="1088"/>
      <c r="H39" s="1088"/>
      <c r="I39" s="1088"/>
      <c r="J39" s="1115">
        <f>SUM(J40:J43)</f>
        <v>234693.1497357774</v>
      </c>
      <c r="L39" s="1116"/>
    </row>
    <row r="40" spans="4:12" ht="12.75">
      <c r="D40" s="146" t="s">
        <v>213</v>
      </c>
      <c r="E40" s="37">
        <f>Turkey!F3</f>
        <v>338263.48528729624</v>
      </c>
      <c r="F40" s="1070">
        <f>365*(8.7/14)</f>
        <v>226.82142857142853</v>
      </c>
      <c r="G40" s="78">
        <f>C57</f>
        <v>5124.061444831319</v>
      </c>
      <c r="J40" s="260">
        <f>(E40*F40)/G40</f>
        <v>14973.553262872843</v>
      </c>
      <c r="L40" s="1068"/>
    </row>
    <row r="41" spans="4:12" ht="12.75">
      <c r="D41" s="146" t="s">
        <v>214</v>
      </c>
      <c r="E41" s="37">
        <f>Turkey!F4</f>
        <v>19897.85207572331</v>
      </c>
      <c r="F41" s="1070">
        <f>365*(8.7/14)</f>
        <v>226.82142857142853</v>
      </c>
      <c r="G41" s="78">
        <f>C57</f>
        <v>5124.061444831319</v>
      </c>
      <c r="J41" s="68">
        <f t="shared" si="2"/>
        <v>880.797250757226</v>
      </c>
      <c r="L41" s="1068"/>
    </row>
    <row r="42" spans="4:12" ht="12.75">
      <c r="D42" s="146" t="s">
        <v>222</v>
      </c>
      <c r="E42" s="37">
        <f>Turkey!F9</f>
        <v>17183965.942158975</v>
      </c>
      <c r="F42" s="1070">
        <v>65</v>
      </c>
      <c r="G42" s="78">
        <f>C57</f>
        <v>5124.061444831319</v>
      </c>
      <c r="J42" s="68">
        <f t="shared" si="2"/>
        <v>217982.9024819789</v>
      </c>
      <c r="L42" s="1068"/>
    </row>
    <row r="43" spans="4:12" ht="12.75">
      <c r="D43" s="146" t="s">
        <v>223</v>
      </c>
      <c r="E43" s="37">
        <f>Turkey!F6</f>
        <v>67471.80749313449</v>
      </c>
      <c r="F43" s="1070">
        <v>65</v>
      </c>
      <c r="G43" s="78">
        <f>C57</f>
        <v>5124.061444831319</v>
      </c>
      <c r="I43" s="1071"/>
      <c r="J43" s="68">
        <f t="shared" si="2"/>
        <v>855.8967401684066</v>
      </c>
      <c r="L43" s="1068"/>
    </row>
    <row r="44" spans="5:12" ht="12.75">
      <c r="E44" s="80"/>
      <c r="F44" s="1072"/>
      <c r="I44" s="1119" t="s">
        <v>63</v>
      </c>
      <c r="J44" s="1073">
        <f>J6+J12+J18+J23+J28+J33+J39</f>
        <v>2459830.4031995833</v>
      </c>
      <c r="K44" s="173">
        <f>K6+K12+K18+K23+K28+K33+K39</f>
        <v>3000000</v>
      </c>
      <c r="L44" s="1074">
        <f>L6+L12+L18+L23+L28+L33+L39</f>
        <v>1495654.0107670887</v>
      </c>
    </row>
    <row r="45" spans="9:12" ht="12.75">
      <c r="I45" s="1120"/>
      <c r="J45" s="1075"/>
      <c r="K45" s="421"/>
      <c r="L45" s="417"/>
    </row>
    <row r="46" spans="1:14" ht="12.75">
      <c r="A46" s="245" t="s">
        <v>540</v>
      </c>
      <c r="B46" s="112" t="s">
        <v>406</v>
      </c>
      <c r="C46" s="112"/>
      <c r="D46" s="663" t="s">
        <v>549</v>
      </c>
      <c r="E46" s="882">
        <v>70918</v>
      </c>
      <c r="F46" s="229">
        <f>(4*1.2)*365</f>
        <v>1752</v>
      </c>
      <c r="G46" s="229">
        <f>C62</f>
        <v>3243.6943367763183</v>
      </c>
      <c r="H46" s="158"/>
      <c r="I46" s="1076">
        <f>4008.57/(10*365)</f>
        <v>1.0982383561643836</v>
      </c>
      <c r="J46" s="1077">
        <f>(E46*F46)/G46</f>
        <v>38304.57592483321</v>
      </c>
      <c r="K46" s="421">
        <f>H46*E46</f>
        <v>0</v>
      </c>
      <c r="L46" s="417">
        <f>E46*I46</f>
        <v>77884.86774246575</v>
      </c>
      <c r="N46" s="1123" t="s">
        <v>1178</v>
      </c>
    </row>
    <row r="47" spans="4:12" s="241" customFormat="1" ht="12.75">
      <c r="D47" s="526" t="s">
        <v>550</v>
      </c>
      <c r="E47" s="474">
        <v>100000</v>
      </c>
      <c r="F47" s="527">
        <f>(4*1.2)*365</f>
        <v>1752</v>
      </c>
      <c r="G47" s="527">
        <f>C62:C62</f>
        <v>3243.6943367763183</v>
      </c>
      <c r="H47" s="528"/>
      <c r="I47" s="531">
        <f>4008.57/(10*365)</f>
        <v>1.0982383561643836</v>
      </c>
      <c r="J47" s="529">
        <f>(E47*F47/G47)</f>
        <v>54012.48755581547</v>
      </c>
      <c r="K47" s="474">
        <f>E47*H47</f>
        <v>0</v>
      </c>
      <c r="L47" s="530">
        <f>E47*I47</f>
        <v>109823.83561643836</v>
      </c>
    </row>
    <row r="48" spans="10:12" ht="12.75">
      <c r="J48" s="80"/>
      <c r="K48" s="80"/>
      <c r="L48" s="80"/>
    </row>
    <row r="49" ht="12.75"/>
    <row r="50" ht="12.75"/>
    <row r="51" ht="12.75"/>
    <row r="52" ht="12.75">
      <c r="A52" s="19" t="s">
        <v>829</v>
      </c>
    </row>
    <row r="53" ht="12.75"/>
    <row r="54" spans="1:7" ht="12.75">
      <c r="A54" s="14"/>
      <c r="B54" s="77" t="s">
        <v>779</v>
      </c>
      <c r="C54" s="77" t="s">
        <v>780</v>
      </c>
      <c r="D54" s="498" t="s">
        <v>985</v>
      </c>
      <c r="E54" s="34" t="s">
        <v>1026</v>
      </c>
      <c r="F54" s="14"/>
      <c r="G54" s="14"/>
    </row>
    <row r="55" spans="1:7" ht="12.75">
      <c r="A55" s="112" t="s">
        <v>69</v>
      </c>
      <c r="B55" s="1078">
        <v>4000</v>
      </c>
      <c r="C55" s="1079">
        <f>GrainY!I6</f>
        <v>8383.199999999999</v>
      </c>
      <c r="D55" s="203">
        <f>B55/C55</f>
        <v>0.4771447657219201</v>
      </c>
      <c r="E55" s="14"/>
      <c r="F55" s="14"/>
      <c r="G55" s="182"/>
    </row>
    <row r="56" spans="1:7" ht="12.75">
      <c r="A56" s="14" t="s">
        <v>367</v>
      </c>
      <c r="B56" s="14">
        <v>1000</v>
      </c>
      <c r="C56" s="51">
        <f>OilsY!G7*(48/60)</f>
        <v>2005.4400000000003</v>
      </c>
      <c r="D56" s="272">
        <f>B56/C56</f>
        <v>0.49864368916546986</v>
      </c>
      <c r="E56" s="14" t="s">
        <v>1065</v>
      </c>
      <c r="F56" s="14"/>
      <c r="G56" s="14"/>
    </row>
    <row r="57" spans="1:7" ht="12.75">
      <c r="A57" s="14" t="s">
        <v>63</v>
      </c>
      <c r="B57" s="182">
        <f>SUM(B55:B56)</f>
        <v>5000</v>
      </c>
      <c r="C57" s="1080">
        <f>B57/D57</f>
        <v>5124.061444831319</v>
      </c>
      <c r="D57" s="176">
        <f>D55+D56</f>
        <v>0.97578845488739</v>
      </c>
      <c r="E57" s="14"/>
      <c r="F57" s="14"/>
      <c r="G57" s="182"/>
    </row>
    <row r="58" spans="4:6" ht="12.75">
      <c r="D58" s="164"/>
      <c r="E58" s="164"/>
      <c r="F58" s="78"/>
    </row>
    <row r="59" spans="2:6" ht="12.75">
      <c r="B59" s="77" t="s">
        <v>779</v>
      </c>
      <c r="C59" s="77" t="s">
        <v>780</v>
      </c>
      <c r="D59" s="498" t="s">
        <v>985</v>
      </c>
      <c r="E59" s="164"/>
      <c r="F59" s="78"/>
    </row>
    <row r="60" spans="1:5" ht="12.75">
      <c r="A60" s="158" t="s">
        <v>69</v>
      </c>
      <c r="B60" s="112">
        <v>1000</v>
      </c>
      <c r="C60" s="1079">
        <f>GrainY!I6</f>
        <v>8383.199999999999</v>
      </c>
      <c r="D60" s="1081">
        <f>B60/C60</f>
        <v>0.11928619143048003</v>
      </c>
      <c r="E60" s="244"/>
    </row>
    <row r="61" spans="1:4" ht="12.75">
      <c r="A61" s="82" t="s">
        <v>577</v>
      </c>
      <c r="B61" s="82">
        <v>1000</v>
      </c>
      <c r="C61" s="296">
        <f>GrainY!I8</f>
        <v>2010.8799999999999</v>
      </c>
      <c r="D61" s="20">
        <f>B61/C61</f>
        <v>0.4972947167409294</v>
      </c>
    </row>
    <row r="62" spans="1:4" ht="12.75">
      <c r="A62" s="82" t="s">
        <v>63</v>
      </c>
      <c r="B62" s="19">
        <f>SUM(B60:B61)</f>
        <v>2000</v>
      </c>
      <c r="C62" s="1082">
        <f>B62/D62</f>
        <v>3243.6943367763183</v>
      </c>
      <c r="D62" s="20">
        <f>SUM(D60:D61)</f>
        <v>0.6165809081714094</v>
      </c>
    </row>
    <row r="65" spans="1:3" ht="12.75">
      <c r="A65" s="19" t="s">
        <v>71</v>
      </c>
      <c r="B65" s="19" t="s">
        <v>46</v>
      </c>
      <c r="C65" s="78">
        <f>E7*F7+E13*F13+E19*F19+E24*F24+E25*F25+E26*F26+E27*F27+E29*F29+E30*F30+E31*F31+E34*F34+E35*F35+E36*F36+E37*F37+E40*F40+E41*F41+E42*F42+E43*F43</f>
        <v>12861969188.68239</v>
      </c>
    </row>
    <row r="66" spans="1:3" ht="12.75">
      <c r="A66" s="19" t="s">
        <v>986</v>
      </c>
      <c r="B66" s="19" t="s">
        <v>46</v>
      </c>
      <c r="C66" s="78">
        <f>C65*(1/5)</f>
        <v>2572393837.7364783</v>
      </c>
    </row>
    <row r="67" spans="1:3" ht="12.75">
      <c r="A67" s="164" t="s">
        <v>987</v>
      </c>
      <c r="B67" s="19" t="s">
        <v>46</v>
      </c>
      <c r="C67" s="78">
        <f>C65*(4/5)</f>
        <v>10289575350.945913</v>
      </c>
    </row>
  </sheetData>
  <sheetProtection/>
  <mergeCells count="4">
    <mergeCell ref="B4:C4"/>
    <mergeCell ref="D4:E4"/>
    <mergeCell ref="F4:I4"/>
    <mergeCell ref="J4:L4"/>
  </mergeCells>
  <printOptions/>
  <pageMargins left="0.7" right="0.7" top="0.75" bottom="0.75" header="0.3" footer="0.3"/>
  <pageSetup orientation="portrait"/>
  <legacyDrawing r:id="rId2"/>
</worksheet>
</file>

<file path=xl/worksheets/sheet18.xml><?xml version="1.0" encoding="utf-8"?>
<worksheet xmlns="http://schemas.openxmlformats.org/spreadsheetml/2006/main" xmlns:r="http://schemas.openxmlformats.org/officeDocument/2006/relationships">
  <dimension ref="A1:O60"/>
  <sheetViews>
    <sheetView zoomScalePageLayoutView="0" workbookViewId="0" topLeftCell="A26">
      <selection activeCell="C56" sqref="C56:H60"/>
    </sheetView>
  </sheetViews>
  <sheetFormatPr defaultColWidth="11.421875" defaultRowHeight="12.75"/>
  <cols>
    <col min="1" max="1" width="28.421875" style="14" customWidth="1"/>
    <col min="2" max="2" width="13.8515625" style="14" customWidth="1"/>
    <col min="3" max="3" width="14.00390625" style="14" customWidth="1"/>
    <col min="4" max="4" width="1.421875" style="14" customWidth="1"/>
    <col min="5" max="5" width="28.421875" style="14" customWidth="1"/>
    <col min="6" max="6" width="14.28125" style="14" customWidth="1"/>
    <col min="7" max="7" width="25.00390625" style="14" customWidth="1"/>
    <col min="8" max="8" width="12.421875" style="14" customWidth="1"/>
    <col min="9" max="9" width="16.7109375" style="14" customWidth="1"/>
    <col min="10" max="10" width="16.28125" style="14" customWidth="1"/>
    <col min="11" max="11" width="13.00390625" style="14" customWidth="1"/>
    <col min="12" max="12" width="11.421875" style="14" customWidth="1"/>
    <col min="13" max="13" width="12.421875" style="14" bestFit="1" customWidth="1"/>
    <col min="14" max="14" width="11.421875" style="14" customWidth="1"/>
    <col min="15" max="15" width="11.421875" style="14" bestFit="1" customWidth="1"/>
    <col min="16" max="16384" width="11.421875" style="14" customWidth="1"/>
  </cols>
  <sheetData>
    <row r="1" ht="15.75">
      <c r="A1" s="113" t="s">
        <v>925</v>
      </c>
    </row>
    <row r="2" ht="12.75">
      <c r="A2" s="14" t="s">
        <v>808</v>
      </c>
    </row>
    <row r="3" ht="12.75"/>
    <row r="4" spans="1:14" ht="15.75">
      <c r="A4" s="883" t="s">
        <v>138</v>
      </c>
      <c r="B4" s="190"/>
      <c r="C4" s="190"/>
      <c r="D4" s="190"/>
      <c r="M4" s="76"/>
      <c r="N4" s="17"/>
    </row>
    <row r="5" spans="1:12" ht="12.75">
      <c r="A5" s="170" t="s">
        <v>308</v>
      </c>
      <c r="B5" s="17">
        <f>Dairy!C8</f>
        <v>8400000000</v>
      </c>
      <c r="C5" s="17"/>
      <c r="D5" s="17"/>
      <c r="E5" s="170" t="s">
        <v>282</v>
      </c>
      <c r="F5" s="76">
        <f>F6/B8</f>
        <v>705882.3529411765</v>
      </c>
      <c r="I5" s="17"/>
      <c r="J5" s="17"/>
      <c r="L5" s="170"/>
    </row>
    <row r="6" spans="1:12" ht="12.75">
      <c r="A6" s="170" t="s">
        <v>280</v>
      </c>
      <c r="B6" s="17">
        <f>Dairy!C6</f>
        <v>14000</v>
      </c>
      <c r="C6" s="17"/>
      <c r="D6" s="17"/>
      <c r="E6" s="170" t="s">
        <v>283</v>
      </c>
      <c r="F6" s="76">
        <f>B7</f>
        <v>600000</v>
      </c>
      <c r="I6" s="170"/>
      <c r="J6" s="170"/>
      <c r="K6" s="17"/>
      <c r="L6" s="17"/>
    </row>
    <row r="7" spans="1:13" ht="12.75">
      <c r="A7" s="170" t="s">
        <v>281</v>
      </c>
      <c r="B7" s="17">
        <f>B5/B6</f>
        <v>600000</v>
      </c>
      <c r="C7" s="17"/>
      <c r="D7" s="17"/>
      <c r="E7" s="170" t="s">
        <v>284</v>
      </c>
      <c r="F7" s="76">
        <f>F5*B13</f>
        <v>11764.705882352942</v>
      </c>
      <c r="G7" s="17"/>
      <c r="H7" s="17"/>
      <c r="I7" s="170"/>
      <c r="J7" s="170"/>
      <c r="K7" s="17"/>
      <c r="L7" s="17"/>
      <c r="M7" s="17"/>
    </row>
    <row r="8" spans="1:14" ht="12.75">
      <c r="A8" s="170" t="s">
        <v>468</v>
      </c>
      <c r="B8" s="166">
        <v>0.85</v>
      </c>
      <c r="C8" s="17"/>
      <c r="D8" s="17"/>
      <c r="E8" s="170" t="s">
        <v>285</v>
      </c>
      <c r="F8" s="17">
        <f>F5*B8*B11</f>
        <v>570000</v>
      </c>
      <c r="G8" s="17"/>
      <c r="H8" s="17"/>
      <c r="K8" s="17"/>
      <c r="M8" s="17"/>
      <c r="N8" s="17"/>
    </row>
    <row r="9" spans="1:14" ht="12.75">
      <c r="A9" s="170" t="s">
        <v>469</v>
      </c>
      <c r="B9" s="166">
        <v>0.22</v>
      </c>
      <c r="C9" s="17"/>
      <c r="D9" s="17"/>
      <c r="E9" s="874" t="s">
        <v>898</v>
      </c>
      <c r="F9" s="17"/>
      <c r="G9" s="271" t="s">
        <v>286</v>
      </c>
      <c r="H9" s="17">
        <f>(F10/(B8*B11))*2</f>
        <v>384629.39355308685</v>
      </c>
      <c r="J9" s="876" t="s">
        <v>291</v>
      </c>
      <c r="K9" s="17">
        <f>F5-H9</f>
        <v>321252.95938808966</v>
      </c>
      <c r="M9" s="17"/>
      <c r="N9" s="17"/>
    </row>
    <row r="10" spans="1:11" ht="12.75">
      <c r="A10" s="988" t="s">
        <v>939</v>
      </c>
      <c r="B10" s="171">
        <v>0.8</v>
      </c>
      <c r="C10" s="17"/>
      <c r="D10" s="17"/>
      <c r="E10" s="875" t="s">
        <v>288</v>
      </c>
      <c r="F10" s="17">
        <f>F5*B9</f>
        <v>155294.11764705883</v>
      </c>
      <c r="G10" s="271" t="s">
        <v>287</v>
      </c>
      <c r="H10" s="17">
        <f>(H9/2)*B11*B8</f>
        <v>155294.1176470588</v>
      </c>
      <c r="I10" s="17"/>
      <c r="J10" s="17"/>
      <c r="K10" s="170"/>
    </row>
    <row r="11" spans="1:8" ht="12.75">
      <c r="A11" s="988" t="s">
        <v>470</v>
      </c>
      <c r="B11" s="171">
        <v>0.95</v>
      </c>
      <c r="C11" s="17"/>
      <c r="D11" s="17"/>
      <c r="E11" s="875" t="s">
        <v>289</v>
      </c>
      <c r="F11" s="17">
        <f>F7*B12</f>
        <v>3529.4117647058824</v>
      </c>
      <c r="G11" s="271" t="s">
        <v>290</v>
      </c>
      <c r="H11" s="17">
        <f>(H9/2)*B11*B8</f>
        <v>155294.1176470588</v>
      </c>
    </row>
    <row r="12" spans="1:5" ht="12.75">
      <c r="A12" s="988" t="s">
        <v>471</v>
      </c>
      <c r="B12" s="171">
        <v>0.3</v>
      </c>
      <c r="C12" s="17"/>
      <c r="D12" s="17"/>
      <c r="E12" s="874" t="s">
        <v>365</v>
      </c>
    </row>
    <row r="13" spans="1:6" ht="12.75">
      <c r="A13" s="988" t="s">
        <v>472</v>
      </c>
      <c r="B13" s="171">
        <f>1/60</f>
        <v>0.016666666666666666</v>
      </c>
      <c r="C13" s="17"/>
      <c r="D13" s="17"/>
      <c r="E13" s="875" t="s">
        <v>290</v>
      </c>
      <c r="F13" s="17">
        <f>H11-F11</f>
        <v>151764.70588235292</v>
      </c>
    </row>
    <row r="14" spans="1:6" ht="12.75">
      <c r="A14" s="170" t="s">
        <v>473</v>
      </c>
      <c r="B14" s="166">
        <v>2</v>
      </c>
      <c r="C14" s="17"/>
      <c r="D14" s="17"/>
      <c r="E14" s="384" t="s">
        <v>899</v>
      </c>
      <c r="F14" s="17">
        <f>K9*B11*B8</f>
        <v>259411.7647058824</v>
      </c>
    </row>
    <row r="15" spans="1:15" ht="12.75">
      <c r="A15" s="170" t="s">
        <v>474</v>
      </c>
      <c r="B15" s="166">
        <v>2</v>
      </c>
      <c r="C15" s="17"/>
      <c r="D15" s="17"/>
      <c r="F15" s="17"/>
      <c r="G15" s="17"/>
      <c r="H15" s="17"/>
      <c r="I15" s="37"/>
      <c r="J15" s="37"/>
      <c r="K15" s="37"/>
      <c r="L15" s="37"/>
      <c r="M15" s="37"/>
      <c r="N15" s="37"/>
      <c r="O15" s="19"/>
    </row>
    <row r="16" spans="1:15" s="504" customFormat="1" ht="24.75" customHeight="1">
      <c r="A16" s="889"/>
      <c r="B16" s="796" t="s">
        <v>897</v>
      </c>
      <c r="C16" s="890" t="s">
        <v>919</v>
      </c>
      <c r="D16" s="924"/>
      <c r="F16" s="877" t="s">
        <v>900</v>
      </c>
      <c r="G16" s="877" t="s">
        <v>901</v>
      </c>
      <c r="H16" s="878" t="s">
        <v>902</v>
      </c>
      <c r="I16" s="877" t="s">
        <v>1023</v>
      </c>
      <c r="J16" s="877" t="s">
        <v>63</v>
      </c>
      <c r="K16" s="891"/>
      <c r="L16" s="891"/>
      <c r="M16" s="891"/>
      <c r="N16" s="891"/>
      <c r="O16" s="794"/>
    </row>
    <row r="17" spans="1:15" ht="12.75">
      <c r="A17" s="172" t="s">
        <v>293</v>
      </c>
      <c r="B17" s="17">
        <v>550</v>
      </c>
      <c r="C17" s="204">
        <v>56.320048732082824</v>
      </c>
      <c r="D17" s="204"/>
      <c r="E17" s="879" t="s">
        <v>904</v>
      </c>
      <c r="F17" s="37">
        <f>F5*B9*B10</f>
        <v>124235.29411764706</v>
      </c>
      <c r="G17" s="37">
        <f>F7*B12*B10</f>
        <v>2823.5294117647063</v>
      </c>
      <c r="H17" s="37">
        <f>F13*B11</f>
        <v>144176.47058823527</v>
      </c>
      <c r="I17" s="37">
        <f>K9*B11*B8</f>
        <v>259411.7647058824</v>
      </c>
      <c r="J17" s="80">
        <f>SUM(F17:I17)</f>
        <v>530647.0588235294</v>
      </c>
      <c r="K17" s="37"/>
      <c r="L17" s="37"/>
      <c r="M17" s="37"/>
      <c r="N17" s="37"/>
      <c r="O17" s="19"/>
    </row>
    <row r="18" spans="1:15" ht="12.75">
      <c r="A18" s="172" t="s">
        <v>294</v>
      </c>
      <c r="B18" s="17">
        <v>550</v>
      </c>
      <c r="C18" s="204">
        <v>56.320048732082824</v>
      </c>
      <c r="D18" s="204"/>
      <c r="E18" s="77" t="s">
        <v>903</v>
      </c>
      <c r="F18" s="37">
        <f>F17*B17</f>
        <v>68329411.76470588</v>
      </c>
      <c r="G18" s="37">
        <f>G17*B18</f>
        <v>1552941.1764705884</v>
      </c>
      <c r="H18" s="37">
        <f>H17*B19</f>
        <v>79297058.82352939</v>
      </c>
      <c r="I18" s="37">
        <f>I17*B20</f>
        <v>155647058.82352945</v>
      </c>
      <c r="J18" s="80">
        <f>SUM(F18:I18)</f>
        <v>304826470.5882353</v>
      </c>
      <c r="K18" s="19"/>
      <c r="L18" s="19"/>
      <c r="M18" s="19"/>
      <c r="N18" s="19"/>
      <c r="O18" s="19"/>
    </row>
    <row r="19" spans="1:15" ht="12.75">
      <c r="A19" s="172" t="s">
        <v>295</v>
      </c>
      <c r="B19" s="17">
        <v>550</v>
      </c>
      <c r="C19" s="204">
        <v>56.320048732082824</v>
      </c>
      <c r="D19" s="204"/>
      <c r="E19" s="77" t="s">
        <v>905</v>
      </c>
      <c r="F19" s="37">
        <f>F17*C17</f>
        <v>6996937.8189505255</v>
      </c>
      <c r="G19" s="37">
        <f>G17*C18</f>
        <v>159021.31406705742</v>
      </c>
      <c r="H19" s="37">
        <f>H17*C19</f>
        <v>8120025.849549117</v>
      </c>
      <c r="I19" s="37">
        <f>I17*C20</f>
        <v>15938272.614448253</v>
      </c>
      <c r="J19" s="80">
        <f>SUM(F19:I19)</f>
        <v>31214257.597014952</v>
      </c>
      <c r="K19" s="19"/>
      <c r="L19" s="19"/>
      <c r="M19" s="19"/>
      <c r="N19" s="19"/>
      <c r="O19" s="19"/>
    </row>
    <row r="20" spans="1:15" ht="12.75">
      <c r="A20" s="172" t="s">
        <v>296</v>
      </c>
      <c r="B20" s="17">
        <v>600</v>
      </c>
      <c r="C20" s="204">
        <v>61.440053162272164</v>
      </c>
      <c r="D20" s="204"/>
      <c r="E20" s="77" t="s">
        <v>906</v>
      </c>
      <c r="F20" s="244">
        <f>(F19*453.592/17000000)/365</f>
        <v>0.5114834841536513</v>
      </c>
      <c r="G20" s="244">
        <f>(G19*453.592/17000000)/365</f>
        <v>0.011624624639855715</v>
      </c>
      <c r="H20" s="244">
        <f>(H19*453.592/17000000)/365</f>
        <v>0.5935823956726322</v>
      </c>
      <c r="I20" s="244">
        <f>(I19*453.592/17000000)/365</f>
        <v>1.1651044241309931</v>
      </c>
      <c r="J20" s="789">
        <f>SUM(F20:I20)</f>
        <v>2.281794928597132</v>
      </c>
      <c r="K20" s="58"/>
      <c r="L20" s="58"/>
      <c r="M20" s="58"/>
      <c r="N20" s="19"/>
      <c r="O20" s="19"/>
    </row>
    <row r="21" spans="6:15" ht="12.75">
      <c r="F21" s="17"/>
      <c r="K21" s="80"/>
      <c r="L21" s="37"/>
      <c r="M21" s="80"/>
      <c r="N21" s="19"/>
      <c r="O21" s="19"/>
    </row>
    <row r="22" spans="6:11" ht="12.75">
      <c r="F22" s="191"/>
      <c r="G22" s="117"/>
      <c r="H22" s="117"/>
      <c r="I22" s="117"/>
      <c r="J22" s="117"/>
      <c r="K22" s="117"/>
    </row>
    <row r="23" spans="1:15" ht="15.75">
      <c r="A23" s="883" t="s">
        <v>911</v>
      </c>
      <c r="F23" s="17"/>
      <c r="G23" s="17"/>
      <c r="H23" s="17"/>
      <c r="I23" s="17"/>
      <c r="J23" s="17"/>
      <c r="K23" s="175"/>
      <c r="L23" s="176"/>
      <c r="O23" s="177"/>
    </row>
    <row r="24" spans="1:4" s="17" customFormat="1" ht="12.75">
      <c r="A24" s="14" t="s">
        <v>361</v>
      </c>
      <c r="B24" s="51">
        <v>3000000</v>
      </c>
      <c r="C24" s="14"/>
      <c r="D24" s="14"/>
    </row>
    <row r="25" spans="1:4" s="17" customFormat="1" ht="12.75">
      <c r="A25" s="14" t="s">
        <v>909</v>
      </c>
      <c r="B25" s="175">
        <f>Livestock!K12+Livestock!K18</f>
        <v>2321419.2432875424</v>
      </c>
      <c r="C25" s="14"/>
      <c r="D25" s="14"/>
    </row>
    <row r="26" spans="1:9" s="17" customFormat="1" ht="12.75">
      <c r="A26" s="169" t="s">
        <v>910</v>
      </c>
      <c r="B26" s="882">
        <f>B24-B25</f>
        <v>678580.7567124576</v>
      </c>
      <c r="G26" s="166"/>
      <c r="I26" s="166"/>
    </row>
    <row r="27" s="17" customFormat="1" ht="12.75">
      <c r="A27" s="170"/>
    </row>
    <row r="28" s="17" customFormat="1" ht="12.75">
      <c r="A28" s="170"/>
    </row>
    <row r="29" s="17" customFormat="1" ht="15.75">
      <c r="A29" s="884" t="s">
        <v>54</v>
      </c>
    </row>
    <row r="30" spans="1:9" s="17" customFormat="1" ht="12.75">
      <c r="A30" s="40" t="s">
        <v>912</v>
      </c>
      <c r="I30" s="14"/>
    </row>
    <row r="31" spans="1:4" s="17" customFormat="1" ht="12.75">
      <c r="A31" s="885" t="s">
        <v>65</v>
      </c>
      <c r="B31" s="885" t="s">
        <v>2</v>
      </c>
      <c r="C31" s="885" t="s">
        <v>309</v>
      </c>
      <c r="D31" s="81"/>
    </row>
    <row r="32" spans="1:5" s="17" customFormat="1" ht="12.75">
      <c r="A32" s="887">
        <f>Livestock!J6/Livestock!E10</f>
        <v>0.10721109203912955</v>
      </c>
      <c r="B32" s="1125">
        <v>5.182832618025752</v>
      </c>
      <c r="C32" s="887">
        <f>Livestock!L6/Livestock!E10</f>
        <v>2.58068669527897</v>
      </c>
      <c r="D32" s="58"/>
      <c r="E32" s="58"/>
    </row>
    <row r="33" spans="3:4" ht="12.75">
      <c r="C33" s="886"/>
      <c r="D33" s="886"/>
    </row>
    <row r="34" ht="12.75"/>
    <row r="35" spans="1:9" ht="12.75">
      <c r="A35" s="14" t="s">
        <v>913</v>
      </c>
      <c r="B35" s="80">
        <f>B26/B32</f>
        <v>130928.54944849503</v>
      </c>
      <c r="C35" s="58"/>
      <c r="D35" s="58"/>
      <c r="E35" s="19"/>
      <c r="F35" s="19"/>
      <c r="H35" s="19"/>
      <c r="I35" s="19"/>
    </row>
    <row r="36" spans="1:9" ht="12.75">
      <c r="A36" s="19" t="s">
        <v>292</v>
      </c>
      <c r="B36" s="80">
        <f>B50</f>
        <v>650</v>
      </c>
      <c r="C36" s="19"/>
      <c r="D36" s="19"/>
      <c r="E36" s="19"/>
      <c r="F36" s="19"/>
      <c r="G36" s="37"/>
      <c r="H36" s="79"/>
      <c r="I36" s="37"/>
    </row>
    <row r="37" spans="1:9" ht="12.75">
      <c r="A37" s="19" t="s">
        <v>914</v>
      </c>
      <c r="B37" s="179">
        <v>0.3090128755364807</v>
      </c>
      <c r="C37" s="19"/>
      <c r="D37" s="19"/>
      <c r="E37" s="19"/>
      <c r="F37" s="19"/>
      <c r="G37" s="180"/>
      <c r="H37" s="19"/>
      <c r="I37" s="19"/>
    </row>
    <row r="38" spans="1:9" ht="12.75">
      <c r="A38" s="888" t="s">
        <v>915</v>
      </c>
      <c r="B38" s="882">
        <f>B35*B36*(1+B37)</f>
        <v>111401652.0522066</v>
      </c>
      <c r="C38" s="19"/>
      <c r="D38" s="19"/>
      <c r="E38" s="19"/>
      <c r="F38" s="19"/>
      <c r="G38" s="180"/>
      <c r="H38" s="19"/>
      <c r="I38" s="19"/>
    </row>
    <row r="39" spans="1:9" ht="12.75">
      <c r="A39" s="19"/>
      <c r="B39" s="179"/>
      <c r="C39" s="19"/>
      <c r="D39" s="19"/>
      <c r="E39" s="19"/>
      <c r="F39" s="19"/>
      <c r="G39" s="180"/>
      <c r="H39" s="19"/>
      <c r="I39" s="19"/>
    </row>
    <row r="40" spans="1:6" s="17" customFormat="1" ht="12.75">
      <c r="A40" s="35" t="s">
        <v>313</v>
      </c>
      <c r="B40" s="78">
        <f>B38</f>
        <v>111401652.0522066</v>
      </c>
      <c r="E40" s="117" t="s">
        <v>364</v>
      </c>
      <c r="F40" s="78">
        <f>B38/((B50*B41*B42)+(B51*B43*B48)+(B52*B45*B47*B48)-(B50*B43)-(B50*B45*B47))</f>
        <v>224770.04197166528</v>
      </c>
    </row>
    <row r="41" spans="1:6" s="17" customFormat="1" ht="12.75">
      <c r="A41" s="38" t="s">
        <v>297</v>
      </c>
      <c r="B41" s="38">
        <v>0.85</v>
      </c>
      <c r="E41" s="117" t="s">
        <v>284</v>
      </c>
      <c r="F41" s="186">
        <f>F40*B45</f>
        <v>5619.251049291633</v>
      </c>
    </row>
    <row r="42" spans="1:13" s="17" customFormat="1" ht="12.75">
      <c r="A42" s="38" t="s">
        <v>299</v>
      </c>
      <c r="B42" s="185">
        <v>0.95</v>
      </c>
      <c r="E42" s="117" t="s">
        <v>366</v>
      </c>
      <c r="F42" s="186">
        <f>F40*B41*B42</f>
        <v>181501.8088921197</v>
      </c>
      <c r="J42" s="187"/>
      <c r="K42" s="80"/>
      <c r="L42" s="80"/>
      <c r="M42" s="80"/>
    </row>
    <row r="43" spans="1:13" s="17" customFormat="1" ht="12.75">
      <c r="A43" s="914" t="s">
        <v>940</v>
      </c>
      <c r="B43" s="914">
        <v>0.22</v>
      </c>
      <c r="E43" s="580" t="s">
        <v>318</v>
      </c>
      <c r="F43" s="17">
        <f>F44+F45</f>
        <v>50573.25944362469</v>
      </c>
      <c r="J43" s="187"/>
      <c r="K43" s="37"/>
      <c r="L43" s="37"/>
      <c r="M43" s="37"/>
    </row>
    <row r="44" spans="1:6" s="17" customFormat="1" ht="12.75">
      <c r="A44" s="914" t="s">
        <v>303</v>
      </c>
      <c r="B44" s="914">
        <v>2</v>
      </c>
      <c r="E44" s="873" t="s">
        <v>288</v>
      </c>
      <c r="F44" s="17">
        <f>(F40*B43)</f>
        <v>49449.40923376636</v>
      </c>
    </row>
    <row r="45" spans="1:12" s="17" customFormat="1" ht="12.75">
      <c r="A45" s="988" t="s">
        <v>472</v>
      </c>
      <c r="B45" s="185">
        <f>1/40</f>
        <v>0.025</v>
      </c>
      <c r="E45" s="873" t="s">
        <v>289</v>
      </c>
      <c r="F45" s="37">
        <f>(F40*B45*B47)</f>
        <v>1123.8502098583265</v>
      </c>
      <c r="K45" s="166"/>
      <c r="L45" s="191"/>
    </row>
    <row r="46" spans="1:6" s="17" customFormat="1" ht="12.75">
      <c r="A46" s="914" t="s">
        <v>305</v>
      </c>
      <c r="B46" s="914">
        <v>1.25</v>
      </c>
      <c r="E46" s="580" t="s">
        <v>365</v>
      </c>
      <c r="F46" s="80">
        <f>F42-F43</f>
        <v>130928.54944849502</v>
      </c>
    </row>
    <row r="47" spans="1:2" s="17" customFormat="1" ht="12.75">
      <c r="A47" s="914" t="s">
        <v>306</v>
      </c>
      <c r="B47" s="914">
        <v>0.2</v>
      </c>
    </row>
    <row r="48" spans="1:11" s="17" customFormat="1" ht="12.75">
      <c r="A48" s="988" t="s">
        <v>939</v>
      </c>
      <c r="B48" s="100">
        <v>0.8</v>
      </c>
      <c r="K48" s="189"/>
    </row>
    <row r="49" spans="2:9" s="17" customFormat="1" ht="25.5">
      <c r="B49" s="246" t="s">
        <v>897</v>
      </c>
      <c r="C49" s="890" t="s">
        <v>919</v>
      </c>
      <c r="D49" s="924"/>
      <c r="F49" s="877" t="s">
        <v>916</v>
      </c>
      <c r="G49" s="877" t="s">
        <v>917</v>
      </c>
      <c r="H49" s="878" t="s">
        <v>918</v>
      </c>
      <c r="I49" s="877" t="s">
        <v>63</v>
      </c>
    </row>
    <row r="50" spans="1:9" ht="12.75">
      <c r="A50" s="172" t="s">
        <v>298</v>
      </c>
      <c r="B50" s="17">
        <v>650</v>
      </c>
      <c r="C50" s="493">
        <v>66.56005759246152</v>
      </c>
      <c r="D50" s="493"/>
      <c r="E50" s="879" t="s">
        <v>904</v>
      </c>
      <c r="F50" s="17">
        <f>F40*B43*B48</f>
        <v>39559.52738701309</v>
      </c>
      <c r="G50" s="17">
        <f>F41*B47*B48</f>
        <v>899.0801678866612</v>
      </c>
      <c r="H50" s="17">
        <f>F46</f>
        <v>130928.54944849502</v>
      </c>
      <c r="I50" s="17">
        <f>SUM(F50:H50)</f>
        <v>171387.15700339476</v>
      </c>
    </row>
    <row r="51" spans="1:9" ht="12.75">
      <c r="A51" s="172" t="s">
        <v>300</v>
      </c>
      <c r="B51" s="17">
        <v>650</v>
      </c>
      <c r="C51" s="493">
        <v>66.56005759246152</v>
      </c>
      <c r="D51" s="493"/>
      <c r="E51" s="77" t="s">
        <v>903</v>
      </c>
      <c r="F51" s="17">
        <f>B51*B48*B43*F40</f>
        <v>25713692.80155851</v>
      </c>
      <c r="G51" s="17">
        <f>G50*B52</f>
        <v>584402.1091263298</v>
      </c>
      <c r="H51" s="17">
        <f>H50*B50</f>
        <v>85103557.14152177</v>
      </c>
      <c r="I51" s="17">
        <f>SUM(F51:H51)</f>
        <v>111401652.0522066</v>
      </c>
    </row>
    <row r="52" spans="1:9" ht="12.75">
      <c r="A52" s="172" t="s">
        <v>302</v>
      </c>
      <c r="B52" s="17">
        <v>650</v>
      </c>
      <c r="C52" s="493">
        <v>66.56005759246152</v>
      </c>
      <c r="D52" s="493"/>
      <c r="E52" s="77" t="s">
        <v>905</v>
      </c>
      <c r="F52" s="17">
        <f>F50*C51</f>
        <v>2633084.4212101502</v>
      </c>
      <c r="G52" s="17">
        <f>G50*C52</f>
        <v>59842.82775477614</v>
      </c>
      <c r="H52" s="17">
        <f>H50*C50</f>
        <v>8714611.791789275</v>
      </c>
      <c r="I52" s="17">
        <f>SUM(F52:H52)</f>
        <v>11407539.0407542</v>
      </c>
    </row>
    <row r="53" spans="1:9" ht="12.75">
      <c r="A53" s="19"/>
      <c r="B53" s="19"/>
      <c r="C53" s="19"/>
      <c r="D53" s="19"/>
      <c r="E53" s="77" t="s">
        <v>906</v>
      </c>
      <c r="F53" s="244">
        <f>(F52*453.592/17000000)/365</f>
        <v>0.19248122945778473</v>
      </c>
      <c r="G53" s="244">
        <f>(G52*453.592/17000000)/365</f>
        <v>0.004374573396767835</v>
      </c>
      <c r="H53" s="244">
        <f>(H52*453.592/17000000)/365</f>
        <v>0.6370472509043159</v>
      </c>
      <c r="I53" s="383">
        <f>SUM(F53:H53)</f>
        <v>0.8339030537588685</v>
      </c>
    </row>
    <row r="56" spans="3:9" ht="12.75">
      <c r="C56" s="16"/>
      <c r="D56" s="16"/>
      <c r="E56" s="1128"/>
      <c r="F56" s="1129"/>
      <c r="G56" s="86"/>
      <c r="H56" s="1130"/>
      <c r="I56" s="10"/>
    </row>
    <row r="57" spans="3:9" ht="12.75">
      <c r="C57" s="16"/>
      <c r="D57" s="16"/>
      <c r="E57" s="16"/>
      <c r="F57" s="16"/>
      <c r="G57" s="16"/>
      <c r="H57" s="1131"/>
      <c r="I57" s="10"/>
    </row>
    <row r="58" spans="3:9" ht="12.75">
      <c r="C58" s="10"/>
      <c r="D58" s="10"/>
      <c r="E58" s="10"/>
      <c r="F58" s="10"/>
      <c r="G58" s="10"/>
      <c r="H58" s="10"/>
      <c r="I58" s="10"/>
    </row>
    <row r="59" spans="3:9" ht="12.75">
      <c r="C59" s="10"/>
      <c r="D59" s="10"/>
      <c r="E59" s="16"/>
      <c r="F59" s="16"/>
      <c r="G59" s="16"/>
      <c r="H59" s="1132"/>
      <c r="I59" s="10"/>
    </row>
    <row r="60" spans="3:9" ht="12.75">
      <c r="C60" s="86"/>
      <c r="D60" s="86"/>
      <c r="E60" s="86"/>
      <c r="F60" s="1133"/>
      <c r="G60" s="86"/>
      <c r="H60" s="10"/>
      <c r="I60" s="10"/>
    </row>
  </sheetData>
  <sheetProtection/>
  <printOptions/>
  <pageMargins left="0.7" right="0.7" top="0.75" bottom="0.75" header="0.3" footer="0.3"/>
  <pageSetup orientation="portrait"/>
  <legacyDrawing r:id="rId2"/>
</worksheet>
</file>

<file path=xl/worksheets/sheet19.xml><?xml version="1.0" encoding="utf-8"?>
<worksheet xmlns="http://schemas.openxmlformats.org/spreadsheetml/2006/main" xmlns:r="http://schemas.openxmlformats.org/officeDocument/2006/relationships">
  <dimension ref="A1:L22"/>
  <sheetViews>
    <sheetView zoomScalePageLayoutView="0" workbookViewId="0" topLeftCell="A1">
      <selection activeCell="J30" sqref="J30"/>
    </sheetView>
  </sheetViews>
  <sheetFormatPr defaultColWidth="8.8515625" defaultRowHeight="12.75"/>
  <cols>
    <col min="1" max="1" width="24.8515625" style="0" customWidth="1"/>
    <col min="2" max="2" width="12.7109375" style="0" customWidth="1"/>
    <col min="3" max="3" width="16.00390625" style="0" customWidth="1"/>
    <col min="4" max="4" width="2.28125" style="0" customWidth="1"/>
    <col min="5" max="5" width="21.7109375" style="0" customWidth="1"/>
    <col min="6" max="6" width="13.421875" style="0" bestFit="1" customWidth="1"/>
    <col min="7" max="7" width="11.28125" style="0" customWidth="1"/>
    <col min="8" max="8" width="14.00390625" style="0" customWidth="1"/>
    <col min="9" max="9" width="12.421875" style="0" customWidth="1"/>
    <col min="10" max="10" width="11.00390625" style="0" customWidth="1"/>
  </cols>
  <sheetData>
    <row r="1" ht="15.75">
      <c r="A1" s="113" t="s">
        <v>219</v>
      </c>
    </row>
    <row r="2" ht="12.75">
      <c r="A2" s="14" t="s">
        <v>808</v>
      </c>
    </row>
    <row r="4" spans="1:4" s="4" customFormat="1" ht="12.75">
      <c r="A4" s="69" t="s">
        <v>313</v>
      </c>
      <c r="B4" s="78">
        <f>Protein!H9</f>
        <v>72004103.58110403</v>
      </c>
      <c r="C4" s="70"/>
      <c r="D4" s="70"/>
    </row>
    <row r="5" spans="1:10" s="4" customFormat="1" ht="12.75">
      <c r="A5" s="69" t="s">
        <v>297</v>
      </c>
      <c r="B5" s="69">
        <v>0.92</v>
      </c>
      <c r="E5" s="6" t="s">
        <v>314</v>
      </c>
      <c r="F5" s="28">
        <f>B4/((B16*B5*B6*B7)+(B17*B8*B9)+(B18*B11*B13*B14)-(B16*B8)-(B16*B11*B13))</f>
        <v>990809.439414135</v>
      </c>
      <c r="J5" s="6"/>
    </row>
    <row r="6" spans="1:10" s="4" customFormat="1" ht="12.75">
      <c r="A6" s="122" t="s">
        <v>299</v>
      </c>
      <c r="B6" s="69">
        <v>0.9</v>
      </c>
      <c r="E6" s="6" t="s">
        <v>315</v>
      </c>
      <c r="F6" s="119">
        <f>F5*B11</f>
        <v>19816.1887882827</v>
      </c>
      <c r="J6" s="6"/>
    </row>
    <row r="7" spans="1:10" s="4" customFormat="1" ht="12.75">
      <c r="A7" s="122" t="s">
        <v>317</v>
      </c>
      <c r="B7" s="69">
        <v>1.5</v>
      </c>
      <c r="E7" s="6" t="s">
        <v>316</v>
      </c>
      <c r="F7" s="119">
        <f>F5*B5*B6*B7</f>
        <v>1230585.3237523558</v>
      </c>
      <c r="G7" s="6"/>
      <c r="H7" s="125"/>
      <c r="I7" s="119"/>
      <c r="J7" s="119"/>
    </row>
    <row r="8" spans="1:10" s="4" customFormat="1" ht="12.75">
      <c r="A8" s="69" t="s">
        <v>301</v>
      </c>
      <c r="B8" s="126">
        <v>0.15</v>
      </c>
      <c r="E8" s="881" t="s">
        <v>318</v>
      </c>
      <c r="F8" s="119">
        <f>(F5*B8)+(F5*B11*B13)</f>
        <v>152584.65366977677</v>
      </c>
      <c r="G8" s="119"/>
      <c r="J8" s="125"/>
    </row>
    <row r="9" spans="1:11" s="4" customFormat="1" ht="12.75">
      <c r="A9" s="935" t="s">
        <v>942</v>
      </c>
      <c r="B9" s="128">
        <v>0.8</v>
      </c>
      <c r="C9" s="19"/>
      <c r="D9" s="19"/>
      <c r="E9" s="881" t="s">
        <v>319</v>
      </c>
      <c r="F9" s="119">
        <f>(F5*B5*B6*B7)-(F5*B8)-(F5*B11*B13)</f>
        <v>1078000.6700825791</v>
      </c>
      <c r="G9" s="6"/>
      <c r="J9" s="129"/>
      <c r="K9" s="105"/>
    </row>
    <row r="10" spans="1:12" s="4" customFormat="1" ht="12.75">
      <c r="A10" s="149" t="s">
        <v>303</v>
      </c>
      <c r="B10" s="893">
        <f>14/12</f>
        <v>1.1666666666666667</v>
      </c>
      <c r="E10" s="26"/>
      <c r="F10" s="125"/>
      <c r="G10" s="119"/>
      <c r="H10" s="130"/>
      <c r="I10" s="6"/>
      <c r="J10" s="6"/>
      <c r="K10" s="21"/>
      <c r="L10" s="21"/>
    </row>
    <row r="11" spans="1:10" s="4" customFormat="1" ht="12.75">
      <c r="A11" s="149" t="s">
        <v>304</v>
      </c>
      <c r="B11" s="892">
        <f>1/50</f>
        <v>0.02</v>
      </c>
      <c r="E11" s="67"/>
      <c r="F11" s="6"/>
      <c r="G11" s="6"/>
      <c r="H11" s="6"/>
      <c r="I11" s="119"/>
      <c r="J11" s="6"/>
    </row>
    <row r="12" spans="1:10" s="4" customFormat="1" ht="12.75">
      <c r="A12" s="149" t="s">
        <v>305</v>
      </c>
      <c r="B12" s="892">
        <f>7.5/12</f>
        <v>0.625</v>
      </c>
      <c r="F12" s="119"/>
      <c r="G12" s="119"/>
      <c r="H12" s="119"/>
      <c r="I12" s="119"/>
      <c r="J12" s="6"/>
    </row>
    <row r="13" spans="1:10" s="4" customFormat="1" ht="12.75">
      <c r="A13" s="127" t="s">
        <v>306</v>
      </c>
      <c r="B13" s="127">
        <v>0.2</v>
      </c>
      <c r="C13" s="19"/>
      <c r="D13" s="19"/>
      <c r="F13" s="6"/>
      <c r="G13" s="125"/>
      <c r="H13" s="119"/>
      <c r="I13" s="6"/>
      <c r="J13" s="6"/>
    </row>
    <row r="14" spans="1:11" s="4" customFormat="1" ht="12.75" customHeight="1">
      <c r="A14" s="935" t="s">
        <v>941</v>
      </c>
      <c r="B14" s="49">
        <f>0.8</f>
        <v>0.8</v>
      </c>
      <c r="C14" s="19"/>
      <c r="D14" s="19"/>
      <c r="J14" s="119"/>
      <c r="K14" s="67"/>
    </row>
    <row r="15" spans="2:10" s="4" customFormat="1" ht="25.5">
      <c r="B15" s="66" t="s">
        <v>292</v>
      </c>
      <c r="C15" s="890" t="s">
        <v>919</v>
      </c>
      <c r="D15" s="924"/>
      <c r="E15" s="14"/>
      <c r="F15" s="877" t="s">
        <v>1166</v>
      </c>
      <c r="G15" s="877" t="s">
        <v>907</v>
      </c>
      <c r="H15" s="877" t="s">
        <v>908</v>
      </c>
      <c r="I15" s="877" t="s">
        <v>63</v>
      </c>
      <c r="J15" s="70"/>
    </row>
    <row r="16" spans="1:9" s="4" customFormat="1" ht="12.75">
      <c r="A16" s="122" t="s">
        <v>310</v>
      </c>
      <c r="B16" s="123">
        <v>60</v>
      </c>
      <c r="C16" s="19">
        <v>4.97</v>
      </c>
      <c r="D16" s="19"/>
      <c r="E16" s="879" t="s">
        <v>904</v>
      </c>
      <c r="F16" s="80">
        <f>F17/B17</f>
        <v>118897.13272969618</v>
      </c>
      <c r="G16" s="80">
        <f>G17/B18</f>
        <v>3170.5902061252323</v>
      </c>
      <c r="H16" s="80">
        <f>H17/B16</f>
        <v>1078000.6700825791</v>
      </c>
      <c r="I16" s="37">
        <f>SUM(F16:H16)</f>
        <v>1200068.3930184005</v>
      </c>
    </row>
    <row r="17" spans="1:9" ht="12.75">
      <c r="A17" s="124" t="s">
        <v>311</v>
      </c>
      <c r="B17" s="124">
        <v>60</v>
      </c>
      <c r="C17" s="14">
        <v>4.97</v>
      </c>
      <c r="D17" s="14"/>
      <c r="E17" s="77" t="s">
        <v>903</v>
      </c>
      <c r="F17" s="186">
        <f>F5*B8*B9*B17</f>
        <v>7133827.963781771</v>
      </c>
      <c r="G17" s="186">
        <f>F6*B13*B14*B18</f>
        <v>190235.41236751393</v>
      </c>
      <c r="H17" s="186">
        <f>F9*B16</f>
        <v>64680040.20495475</v>
      </c>
      <c r="I17" s="186">
        <f>SUM(F17:H17)</f>
        <v>72004103.58110404</v>
      </c>
    </row>
    <row r="18" spans="1:9" ht="12.75">
      <c r="A18" s="49" t="s">
        <v>312</v>
      </c>
      <c r="B18" s="124">
        <v>60</v>
      </c>
      <c r="C18" s="880">
        <v>4.97</v>
      </c>
      <c r="D18" s="880"/>
      <c r="E18" s="77" t="s">
        <v>905</v>
      </c>
      <c r="F18" s="80">
        <f>F16*C17</f>
        <v>590918.74966659</v>
      </c>
      <c r="G18" s="80">
        <f>G16*C18</f>
        <v>15757.833324442403</v>
      </c>
      <c r="H18" s="80">
        <f>H16*C18</f>
        <v>5357663.330310418</v>
      </c>
      <c r="I18" s="37">
        <f>SUM(F18:H18)</f>
        <v>5964339.913301451</v>
      </c>
    </row>
    <row r="19" spans="2:9" ht="12.75">
      <c r="B19" s="79"/>
      <c r="E19" s="77" t="s">
        <v>906</v>
      </c>
      <c r="F19" s="244">
        <f>(F18*453.592/17000000)/365</f>
        <v>0.04319677961301658</v>
      </c>
      <c r="G19" s="244">
        <f>(G18*453.592/17000000)/365</f>
        <v>0.0011519141230137758</v>
      </c>
      <c r="H19" s="244">
        <f>(H18*453.592/17000000)/365</f>
        <v>0.39165080182468387</v>
      </c>
      <c r="I19" s="383">
        <f>SUM(F19:H19)</f>
        <v>0.4359994955607142</v>
      </c>
    </row>
    <row r="20" ht="12.75">
      <c r="B20" s="19"/>
    </row>
    <row r="21" ht="12.75">
      <c r="F21" s="118"/>
    </row>
    <row r="22" ht="12.75">
      <c r="F22" s="11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71"/>
  <sheetViews>
    <sheetView zoomScalePageLayoutView="0" workbookViewId="0" topLeftCell="A1">
      <selection activeCell="C23" sqref="C23"/>
    </sheetView>
  </sheetViews>
  <sheetFormatPr defaultColWidth="8.8515625" defaultRowHeight="12.75"/>
  <cols>
    <col min="1" max="1" width="15.8515625" style="0" customWidth="1"/>
    <col min="2" max="2" width="7.421875" style="0" customWidth="1"/>
    <col min="3" max="3" width="9.00390625" style="0" customWidth="1"/>
    <col min="4" max="5" width="8.8515625" style="0" customWidth="1"/>
    <col min="6" max="6" width="3.00390625" style="0" customWidth="1"/>
    <col min="7" max="8" width="8.8515625" style="0" customWidth="1"/>
    <col min="9" max="9" width="15.7109375" style="0" customWidth="1"/>
    <col min="10" max="10" width="6.00390625" style="0" customWidth="1"/>
  </cols>
  <sheetData>
    <row r="1" ht="15.75">
      <c r="A1" s="113" t="s">
        <v>1017</v>
      </c>
    </row>
    <row r="2" ht="12.75">
      <c r="A2" t="s">
        <v>229</v>
      </c>
    </row>
    <row r="4" spans="2:5" ht="12.75">
      <c r="B4" s="14"/>
      <c r="C4" s="14" t="s">
        <v>230</v>
      </c>
      <c r="D4" t="s">
        <v>231</v>
      </c>
      <c r="E4" t="s">
        <v>51</v>
      </c>
    </row>
    <row r="5" spans="1:8" s="2" customFormat="1" ht="13.5" thickBot="1">
      <c r="A5" s="2" t="s">
        <v>232</v>
      </c>
      <c r="B5" s="53"/>
      <c r="C5" s="2" t="s">
        <v>233</v>
      </c>
      <c r="D5" s="2" t="s">
        <v>233</v>
      </c>
      <c r="E5" s="2" t="s">
        <v>233</v>
      </c>
      <c r="H5" s="83"/>
    </row>
    <row r="6" spans="1:12" ht="12.75">
      <c r="A6" t="s">
        <v>21</v>
      </c>
      <c r="C6" s="84">
        <f>D6/7</f>
        <v>0.2857142857142857</v>
      </c>
      <c r="D6" s="1">
        <v>2</v>
      </c>
      <c r="E6" s="25"/>
      <c r="F6" s="25"/>
      <c r="G6" s="14" t="s">
        <v>1167</v>
      </c>
      <c r="L6" s="10"/>
    </row>
    <row r="7" spans="1:13" ht="12.75">
      <c r="A7" t="s">
        <v>22</v>
      </c>
      <c r="C7" s="84">
        <f>D7/7</f>
        <v>0.7142857142857143</v>
      </c>
      <c r="D7" s="1">
        <v>5</v>
      </c>
      <c r="E7" s="25"/>
      <c r="F7" s="25"/>
      <c r="G7" s="14" t="s">
        <v>234</v>
      </c>
      <c r="M7" s="10"/>
    </row>
    <row r="8" spans="1:7" ht="12.75">
      <c r="A8" t="s">
        <v>235</v>
      </c>
      <c r="C8" s="84">
        <f>D8/7</f>
        <v>0.8571428571428571</v>
      </c>
      <c r="D8" s="1">
        <v>6</v>
      </c>
      <c r="E8" s="25"/>
      <c r="F8" s="25"/>
      <c r="G8" s="14" t="s">
        <v>236</v>
      </c>
    </row>
    <row r="9" spans="1:11" s="4" customFormat="1" ht="12.75">
      <c r="A9" s="4" t="s">
        <v>23</v>
      </c>
      <c r="C9" s="84">
        <f>D9/7</f>
        <v>0.8571428571428571</v>
      </c>
      <c r="D9" s="5">
        <v>6</v>
      </c>
      <c r="E9" s="85"/>
      <c r="F9" s="85"/>
      <c r="G9" s="4" t="s">
        <v>25</v>
      </c>
      <c r="K9" s="86"/>
    </row>
    <row r="10" spans="1:7" s="3" customFormat="1" ht="12.75">
      <c r="A10" s="97" t="s">
        <v>373</v>
      </c>
      <c r="B10" s="97"/>
      <c r="C10" s="193">
        <f>D10/7</f>
        <v>0.2857142857142857</v>
      </c>
      <c r="D10" s="157">
        <v>2</v>
      </c>
      <c r="E10" s="87"/>
      <c r="F10" s="87"/>
      <c r="G10" s="52"/>
    </row>
    <row r="11" spans="1:11" ht="12.75">
      <c r="A11" s="40" t="s">
        <v>237</v>
      </c>
      <c r="B11" s="72"/>
      <c r="C11" s="194">
        <f>SUM(C6:C10)</f>
        <v>3</v>
      </c>
      <c r="D11" s="74">
        <f>SUM(D6:D10)</f>
        <v>21</v>
      </c>
      <c r="E11" s="25"/>
      <c r="F11" s="25"/>
      <c r="K11" s="14" t="s">
        <v>238</v>
      </c>
    </row>
    <row r="12" spans="3:6" ht="12.75">
      <c r="C12" s="25"/>
      <c r="D12" s="25"/>
      <c r="E12" s="25"/>
      <c r="F12" s="25"/>
    </row>
    <row r="13" spans="1:11" ht="12.75">
      <c r="A13" t="s">
        <v>239</v>
      </c>
      <c r="C13" s="89">
        <v>0.7</v>
      </c>
      <c r="D13" s="1">
        <f>C13*7</f>
        <v>4.8999999999999995</v>
      </c>
      <c r="E13" s="25"/>
      <c r="F13" s="25"/>
      <c r="G13" t="s">
        <v>1168</v>
      </c>
      <c r="K13" s="14"/>
    </row>
    <row r="14" spans="1:18" ht="12.75">
      <c r="A14" t="s">
        <v>240</v>
      </c>
      <c r="C14" s="89">
        <v>0.3</v>
      </c>
      <c r="D14" s="1">
        <f>C14*7</f>
        <v>2.1</v>
      </c>
      <c r="E14" s="25"/>
      <c r="F14" s="25"/>
      <c r="G14" t="s">
        <v>241</v>
      </c>
      <c r="K14" s="62"/>
      <c r="Q14" s="90"/>
      <c r="R14" s="10"/>
    </row>
    <row r="15" spans="1:11" ht="12.75">
      <c r="A15" t="s">
        <v>242</v>
      </c>
      <c r="C15" s="89">
        <v>0.7</v>
      </c>
      <c r="D15" s="1">
        <f>C15*7</f>
        <v>4.8999999999999995</v>
      </c>
      <c r="E15" s="25"/>
      <c r="F15" s="25"/>
      <c r="G15" t="s">
        <v>243</v>
      </c>
      <c r="K15" s="62"/>
    </row>
    <row r="16" spans="1:11" s="3" customFormat="1" ht="12.75">
      <c r="A16" s="3" t="s">
        <v>244</v>
      </c>
      <c r="C16" s="91">
        <v>0.3</v>
      </c>
      <c r="D16" s="1">
        <f>C16*7</f>
        <v>2.1</v>
      </c>
      <c r="E16" s="87"/>
      <c r="F16" s="87"/>
      <c r="G16" s="3" t="s">
        <v>245</v>
      </c>
      <c r="K16" s="52"/>
    </row>
    <row r="17" spans="1:11" ht="12.75">
      <c r="A17" s="14" t="s">
        <v>246</v>
      </c>
      <c r="B17" s="23"/>
      <c r="C17" s="25">
        <f>SUM(C13:C16)</f>
        <v>2</v>
      </c>
      <c r="D17" s="88">
        <f>SUM(D13:D16)</f>
        <v>13.999999999999998</v>
      </c>
      <c r="E17" s="25"/>
      <c r="F17" s="25"/>
      <c r="G17" s="6"/>
      <c r="H17" s="1"/>
      <c r="K17" s="14" t="s">
        <v>1016</v>
      </c>
    </row>
    <row r="18" spans="3:8" ht="12.75">
      <c r="C18" s="25"/>
      <c r="D18" s="25"/>
      <c r="E18" s="25"/>
      <c r="F18" s="25"/>
      <c r="G18" s="6"/>
      <c r="H18" s="1"/>
    </row>
    <row r="19" spans="3:8" ht="12.75">
      <c r="C19" s="192" t="s">
        <v>249</v>
      </c>
      <c r="D19" s="192" t="s">
        <v>250</v>
      </c>
      <c r="E19" s="192" t="s">
        <v>35</v>
      </c>
      <c r="F19" s="25"/>
      <c r="G19" s="6"/>
      <c r="H19" s="1"/>
    </row>
    <row r="20" spans="1:8" ht="12.75">
      <c r="A20" t="s">
        <v>15</v>
      </c>
      <c r="B20" s="23"/>
      <c r="C20" s="25">
        <v>7.5</v>
      </c>
      <c r="D20" s="89">
        <f>C20*7</f>
        <v>52.5</v>
      </c>
      <c r="E20" s="51">
        <v>194</v>
      </c>
      <c r="F20" s="25"/>
      <c r="G20" s="89" t="s">
        <v>1169</v>
      </c>
      <c r="H20" s="1"/>
    </row>
    <row r="21" spans="3:8" ht="12.75">
      <c r="C21" s="986"/>
      <c r="D21" s="89"/>
      <c r="E21" s="89"/>
      <c r="F21" s="25"/>
      <c r="G21" s="89"/>
      <c r="H21" s="1"/>
    </row>
    <row r="22" spans="1:6" ht="12.75">
      <c r="A22" s="41"/>
      <c r="B22" s="89"/>
      <c r="C22" s="192" t="s">
        <v>249</v>
      </c>
      <c r="D22" s="192" t="s">
        <v>250</v>
      </c>
      <c r="E22" s="192" t="s">
        <v>35</v>
      </c>
      <c r="F22" s="25"/>
    </row>
    <row r="23" spans="1:7" s="14" customFormat="1" ht="15">
      <c r="A23" s="14" t="s">
        <v>368</v>
      </c>
      <c r="B23" s="182"/>
      <c r="C23" s="96">
        <f>Protein!D24+Protein!D25</f>
        <v>0.87</v>
      </c>
      <c r="D23" s="979">
        <f aca="true" t="shared" si="0" ref="D23:D32">C23*7</f>
        <v>6.09</v>
      </c>
      <c r="E23" s="111">
        <f>Protein!G24*(1-ProteinCurrent!P29)+Protein!G25*(1-ProteinCurrent!P28)</f>
        <v>9.99106960207541</v>
      </c>
      <c r="F23" s="89"/>
      <c r="G23" s="14" t="s">
        <v>370</v>
      </c>
    </row>
    <row r="24" spans="1:7" s="14" customFormat="1" ht="15">
      <c r="A24" s="14" t="s">
        <v>369</v>
      </c>
      <c r="B24" s="182"/>
      <c r="C24" s="96">
        <f>Protein!D22</f>
        <v>0.38571428571428573</v>
      </c>
      <c r="D24" s="979">
        <f t="shared" si="0"/>
        <v>2.7</v>
      </c>
      <c r="E24" s="111">
        <f>Protein!G22*(1-0.15)</f>
        <v>5.866071428571429</v>
      </c>
      <c r="F24" s="89"/>
      <c r="G24" s="14" t="s">
        <v>371</v>
      </c>
    </row>
    <row r="25" spans="1:7" s="14" customFormat="1" ht="15">
      <c r="A25" s="14" t="s">
        <v>367</v>
      </c>
      <c r="B25" s="177"/>
      <c r="C25" s="96">
        <f>Protein!D23</f>
        <v>0.2571428571428572</v>
      </c>
      <c r="D25" s="979">
        <f t="shared" si="0"/>
        <v>1.8000000000000003</v>
      </c>
      <c r="E25" s="111">
        <f>Protein!G23*(1-0.3)</f>
        <v>1.9553571428571426</v>
      </c>
      <c r="F25" s="89"/>
      <c r="G25" s="14" t="s">
        <v>372</v>
      </c>
    </row>
    <row r="26" spans="1:7" s="14" customFormat="1" ht="15">
      <c r="A26" s="14" t="s">
        <v>251</v>
      </c>
      <c r="B26" s="182"/>
      <c r="C26" s="96">
        <f>Protein!D14</f>
        <v>0.5714285714285714</v>
      </c>
      <c r="D26" s="980">
        <f t="shared" si="0"/>
        <v>4</v>
      </c>
      <c r="E26" s="111">
        <f>C26*365/16</f>
        <v>13.035714285714285</v>
      </c>
      <c r="F26" s="89"/>
      <c r="G26" s="14" t="s">
        <v>252</v>
      </c>
    </row>
    <row r="27" spans="1:7" s="14" customFormat="1" ht="15">
      <c r="A27" s="14" t="s">
        <v>54</v>
      </c>
      <c r="B27" s="182"/>
      <c r="C27" s="96">
        <f>Protein!D8</f>
        <v>0.5488561845086742</v>
      </c>
      <c r="D27" s="979">
        <f t="shared" si="0"/>
        <v>3.8419932915607196</v>
      </c>
      <c r="E27" s="111">
        <f aca="true" t="shared" si="1" ref="E27:E32">C27*365/16</f>
        <v>12.520781709104131</v>
      </c>
      <c r="F27" s="89"/>
      <c r="G27" s="14" t="s">
        <v>1170</v>
      </c>
    </row>
    <row r="28" spans="1:7" s="14" customFormat="1" ht="15">
      <c r="A28" s="14" t="s">
        <v>55</v>
      </c>
      <c r="B28" s="182"/>
      <c r="C28" s="96">
        <f>Protein!D9</f>
        <v>0.08571428571428572</v>
      </c>
      <c r="D28" s="979">
        <f t="shared" si="0"/>
        <v>0.6</v>
      </c>
      <c r="E28" s="111">
        <f t="shared" si="1"/>
        <v>1.9553571428571428</v>
      </c>
      <c r="F28" s="89"/>
      <c r="G28" s="14" t="s">
        <v>253</v>
      </c>
    </row>
    <row r="29" spans="1:7" s="14" customFormat="1" ht="15">
      <c r="A29" s="14" t="s">
        <v>56</v>
      </c>
      <c r="B29" s="182"/>
      <c r="C29" s="96">
        <f>Protein!D10</f>
        <v>0.6</v>
      </c>
      <c r="D29" s="979">
        <f t="shared" si="0"/>
        <v>4.2</v>
      </c>
      <c r="E29" s="111">
        <f t="shared" si="1"/>
        <v>13.6875</v>
      </c>
      <c r="F29" s="89"/>
      <c r="G29" s="14" t="s">
        <v>1171</v>
      </c>
    </row>
    <row r="30" spans="1:7" s="14" customFormat="1" ht="15">
      <c r="A30" s="14" t="s">
        <v>59</v>
      </c>
      <c r="B30" s="182"/>
      <c r="C30" s="96">
        <f>Protein!D11</f>
        <v>0.47264608539348235</v>
      </c>
      <c r="D30" s="979">
        <f t="shared" si="0"/>
        <v>3.3085225977543766</v>
      </c>
      <c r="E30" s="111">
        <f t="shared" si="1"/>
        <v>10.782238823038815</v>
      </c>
      <c r="F30" s="89"/>
      <c r="G30" s="14" t="s">
        <v>1015</v>
      </c>
    </row>
    <row r="31" spans="1:7" s="14" customFormat="1" ht="15">
      <c r="A31" s="14" t="s">
        <v>57</v>
      </c>
      <c r="B31" s="182"/>
      <c r="C31" s="96">
        <f>Protein!D12</f>
        <v>2.100394374082968</v>
      </c>
      <c r="D31" s="979">
        <f t="shared" si="0"/>
        <v>14.702760618580776</v>
      </c>
      <c r="E31" s="111">
        <f t="shared" si="1"/>
        <v>47.9152466587677</v>
      </c>
      <c r="F31" s="89"/>
      <c r="G31" s="19" t="s">
        <v>254</v>
      </c>
    </row>
    <row r="32" spans="1:7" s="52" customFormat="1" ht="15">
      <c r="A32" s="52" t="s">
        <v>58</v>
      </c>
      <c r="B32" s="423"/>
      <c r="C32" s="96">
        <f>Protein!D13</f>
        <v>0.3696149851240257</v>
      </c>
      <c r="D32" s="979">
        <f t="shared" si="0"/>
        <v>2.5873048958681797</v>
      </c>
      <c r="E32" s="111">
        <f t="shared" si="1"/>
        <v>8.431841848141836</v>
      </c>
      <c r="F32" s="91"/>
      <c r="G32" s="52" t="s">
        <v>254</v>
      </c>
    </row>
    <row r="33" spans="1:11" s="14" customFormat="1" ht="12.75">
      <c r="A33" s="82" t="s">
        <v>255</v>
      </c>
      <c r="B33" s="182"/>
      <c r="C33" s="981">
        <f>SUM(C23:C32)</f>
        <v>6.26151162910915</v>
      </c>
      <c r="D33" s="981">
        <f>SUM(D23:D32)</f>
        <v>43.83058140376405</v>
      </c>
      <c r="E33" s="981"/>
      <c r="F33" s="89"/>
      <c r="G33" s="82"/>
      <c r="K33" s="14" t="s">
        <v>1172</v>
      </c>
    </row>
    <row r="34" spans="1:12" ht="12.75">
      <c r="A34" s="6"/>
      <c r="C34" s="85"/>
      <c r="D34" s="85"/>
      <c r="E34" s="85"/>
      <c r="F34" s="25"/>
      <c r="G34" s="82"/>
      <c r="L34" s="10"/>
    </row>
    <row r="35" spans="1:8" s="27" customFormat="1" ht="12.75">
      <c r="A35" s="27" t="s">
        <v>218</v>
      </c>
      <c r="C35" s="93">
        <f>Dairy!D13</f>
        <v>1</v>
      </c>
      <c r="D35" s="94"/>
      <c r="E35" s="94"/>
      <c r="F35" s="94"/>
      <c r="G35" s="40" t="s">
        <v>256</v>
      </c>
      <c r="H35" s="40"/>
    </row>
    <row r="36" spans="1:11" s="27" customFormat="1" ht="12.75">
      <c r="A36" s="27" t="s">
        <v>50</v>
      </c>
      <c r="B36" s="72"/>
      <c r="C36" s="93">
        <f>Dairy!D18</f>
        <v>0.30514746472569043</v>
      </c>
      <c r="D36" s="94"/>
      <c r="E36" s="94"/>
      <c r="F36" s="94"/>
      <c r="G36" s="40" t="s">
        <v>1173</v>
      </c>
      <c r="K36" s="95"/>
    </row>
    <row r="37" spans="1:7" s="27" customFormat="1" ht="12.75">
      <c r="A37" s="27" t="s">
        <v>257</v>
      </c>
      <c r="B37" s="72"/>
      <c r="C37" s="93">
        <f>Dairy!D14</f>
        <v>0.1</v>
      </c>
      <c r="D37" s="96"/>
      <c r="E37" s="94"/>
      <c r="F37" s="94"/>
      <c r="G37" s="40" t="s">
        <v>1175</v>
      </c>
    </row>
    <row r="38" spans="1:7" s="6" customFormat="1" ht="12.75">
      <c r="A38" s="6" t="s">
        <v>47</v>
      </c>
      <c r="B38" s="235"/>
      <c r="C38" s="453">
        <f>Dairy!D15</f>
        <v>0.1</v>
      </c>
      <c r="D38" s="92"/>
      <c r="E38" s="92"/>
      <c r="F38" s="92"/>
      <c r="G38" s="296" t="s">
        <v>1174</v>
      </c>
    </row>
    <row r="39" spans="1:7" s="6" customFormat="1" ht="12.75">
      <c r="A39" s="230" t="s">
        <v>596</v>
      </c>
      <c r="B39" s="235"/>
      <c r="C39" s="453">
        <f>Dairy!D17</f>
        <v>0.02656923319036645</v>
      </c>
      <c r="D39" s="92"/>
      <c r="E39" s="92"/>
      <c r="F39" s="92"/>
      <c r="G39" s="296"/>
    </row>
    <row r="40" spans="1:7" s="11" customFormat="1" ht="12.75">
      <c r="A40" s="11" t="s">
        <v>258</v>
      </c>
      <c r="B40" s="454"/>
      <c r="C40" s="194">
        <f>SUM(C35:C38)</f>
        <v>1.5051474647256906</v>
      </c>
      <c r="D40" s="194"/>
      <c r="E40" s="194"/>
      <c r="F40" s="194"/>
      <c r="G40" s="158" t="s">
        <v>259</v>
      </c>
    </row>
    <row r="41" spans="3:7" s="6" customFormat="1" ht="12.75">
      <c r="C41" s="92"/>
      <c r="D41" s="92"/>
      <c r="E41" s="92"/>
      <c r="F41" s="92"/>
      <c r="G41" s="82"/>
    </row>
    <row r="42" spans="2:9" s="6" customFormat="1" ht="12.75">
      <c r="B42" s="82"/>
      <c r="C42" s="972" t="s">
        <v>260</v>
      </c>
      <c r="D42" s="972" t="s">
        <v>261</v>
      </c>
      <c r="F42" s="82"/>
      <c r="G42" s="98"/>
      <c r="I42" s="99"/>
    </row>
    <row r="43" spans="1:11" s="6" customFormat="1" ht="12.75">
      <c r="A43" s="82" t="s">
        <v>548</v>
      </c>
      <c r="B43" s="76"/>
      <c r="C43" s="177">
        <f>Dairy!F16</f>
        <v>4.412637912617044</v>
      </c>
      <c r="D43" s="270">
        <f>C43*7</f>
        <v>30.88846538831931</v>
      </c>
      <c r="F43" s="76"/>
      <c r="G43" s="82"/>
      <c r="I43" s="99"/>
      <c r="K43" s="99"/>
    </row>
    <row r="44" spans="1:9" s="6" customFormat="1" ht="12.75">
      <c r="A44" s="6" t="s">
        <v>263</v>
      </c>
      <c r="B44" s="76"/>
      <c r="C44" s="100">
        <f>Dairy!F18</f>
        <v>5.292278862918568</v>
      </c>
      <c r="D44" s="270">
        <f>C44*7</f>
        <v>37.04595204042998</v>
      </c>
      <c r="F44" s="76"/>
      <c r="G44" s="82" t="s">
        <v>990</v>
      </c>
      <c r="I44" s="82"/>
    </row>
    <row r="45" spans="1:9" s="27" customFormat="1" ht="12.75">
      <c r="A45" s="27" t="s">
        <v>264</v>
      </c>
      <c r="B45" s="76"/>
      <c r="C45" s="100">
        <f>Dairy!F15</f>
        <v>3.1967999999999996</v>
      </c>
      <c r="D45" s="270">
        <f>C45*7</f>
        <v>22.377599999999997</v>
      </c>
      <c r="F45" s="76"/>
      <c r="G45" s="40" t="s">
        <v>265</v>
      </c>
      <c r="I45" s="95"/>
    </row>
    <row r="46" spans="1:9" s="27" customFormat="1" ht="12.75">
      <c r="A46" s="27" t="s">
        <v>266</v>
      </c>
      <c r="B46" s="76"/>
      <c r="C46" s="100">
        <f>Dairy!F13</f>
        <v>2.44</v>
      </c>
      <c r="D46" s="270">
        <f>C46*7</f>
        <v>17.08</v>
      </c>
      <c r="F46" s="76"/>
      <c r="G46" s="40"/>
      <c r="I46" s="95"/>
    </row>
    <row r="47" spans="1:9" s="27" customFormat="1" ht="12.75">
      <c r="A47" s="27" t="s">
        <v>267</v>
      </c>
      <c r="B47" s="76"/>
      <c r="C47" s="100">
        <f>Dairy!F14</f>
        <v>0.9080000000000001</v>
      </c>
      <c r="D47" s="270">
        <f>C47*7</f>
        <v>6.356000000000001</v>
      </c>
      <c r="F47" s="76"/>
      <c r="G47" s="95"/>
      <c r="I47" s="95"/>
    </row>
    <row r="48" spans="1:9" s="11" customFormat="1" ht="12.75">
      <c r="A48" s="11" t="s">
        <v>60</v>
      </c>
      <c r="B48" s="214"/>
      <c r="C48" s="103">
        <f>SUM(C43:C47)</f>
        <v>16.24971677553561</v>
      </c>
      <c r="D48" s="967">
        <f>SUM(D43:D47)</f>
        <v>113.74801742874929</v>
      </c>
      <c r="F48" s="103"/>
      <c r="G48" s="158" t="s">
        <v>268</v>
      </c>
      <c r="I48" s="968"/>
    </row>
    <row r="49" spans="1:9" s="27" customFormat="1" ht="12.75">
      <c r="A49" s="6"/>
      <c r="C49" s="104"/>
      <c r="D49" s="101"/>
      <c r="E49" s="104"/>
      <c r="F49" s="104"/>
      <c r="G49" s="40"/>
      <c r="I49" s="95"/>
    </row>
    <row r="50" spans="2:4" s="27" customFormat="1" ht="12.75">
      <c r="B50" s="288"/>
      <c r="C50" s="971" t="s">
        <v>377</v>
      </c>
      <c r="D50" s="289"/>
    </row>
    <row r="51" spans="1:7" s="27" customFormat="1" ht="12.75">
      <c r="A51" s="40" t="s">
        <v>367</v>
      </c>
      <c r="B51" s="39"/>
      <c r="C51" s="210">
        <f>Fat!D9</f>
        <v>21.235391257727873</v>
      </c>
      <c r="D51" s="39"/>
      <c r="F51" s="94"/>
      <c r="G51" s="40"/>
    </row>
    <row r="52" spans="1:7" s="27" customFormat="1" ht="12.75">
      <c r="A52" s="40" t="s">
        <v>392</v>
      </c>
      <c r="B52" s="39"/>
      <c r="C52" s="210">
        <f>Fat!D11</f>
        <v>2.351970829655084</v>
      </c>
      <c r="D52" s="39"/>
      <c r="F52" s="94"/>
      <c r="G52" s="40"/>
    </row>
    <row r="53" spans="1:7" s="27" customFormat="1" ht="12.75">
      <c r="A53" s="40" t="s">
        <v>991</v>
      </c>
      <c r="B53" s="39"/>
      <c r="C53" s="210">
        <f>Fat!D10</f>
        <v>2</v>
      </c>
      <c r="D53" s="39"/>
      <c r="F53" s="94"/>
      <c r="G53" s="40"/>
    </row>
    <row r="54" spans="1:7" s="11" customFormat="1" ht="12.75">
      <c r="A54" s="158" t="s">
        <v>60</v>
      </c>
      <c r="B54" s="74"/>
      <c r="C54" s="728">
        <f>SUM(C51:C53)</f>
        <v>25.587362087382957</v>
      </c>
      <c r="D54" s="74"/>
      <c r="F54" s="194"/>
      <c r="G54" s="158"/>
    </row>
    <row r="55" spans="3:7" s="27" customFormat="1" ht="12.75">
      <c r="C55" s="72"/>
      <c r="D55" s="94"/>
      <c r="E55" s="94"/>
      <c r="F55" s="94"/>
      <c r="G55" s="40"/>
    </row>
    <row r="56" spans="2:7" s="27" customFormat="1" ht="12.75">
      <c r="B56" s="288"/>
      <c r="C56" s="972" t="s">
        <v>376</v>
      </c>
      <c r="D56" s="290"/>
      <c r="E56" s="196"/>
      <c r="F56" s="94"/>
      <c r="G56" s="40"/>
    </row>
    <row r="57" spans="1:7" s="27" customFormat="1" ht="12.75">
      <c r="A57" s="40" t="s">
        <v>551</v>
      </c>
      <c r="B57" s="76"/>
      <c r="C57" s="196">
        <f>Sugars!E12</f>
        <v>155.768</v>
      </c>
      <c r="D57" s="100"/>
      <c r="F57" s="94"/>
      <c r="G57" s="95"/>
    </row>
    <row r="58" spans="1:11" s="27" customFormat="1" ht="12.75">
      <c r="A58" s="27" t="s">
        <v>375</v>
      </c>
      <c r="B58" s="76"/>
      <c r="C58" s="196">
        <f>Sugars!E10</f>
        <v>1.9574140142465752</v>
      </c>
      <c r="D58" s="100"/>
      <c r="J58" s="40"/>
      <c r="K58" s="40"/>
    </row>
    <row r="59" spans="1:11" s="27" customFormat="1" ht="12.75">
      <c r="A59" s="27" t="s">
        <v>356</v>
      </c>
      <c r="B59" s="76"/>
      <c r="C59" s="196">
        <f>Sugars!E9</f>
        <v>22.26124778708199</v>
      </c>
      <c r="D59" s="100"/>
      <c r="H59" s="40"/>
      <c r="I59" s="40"/>
      <c r="J59" s="47"/>
      <c r="K59" s="47"/>
    </row>
    <row r="60" spans="1:10" s="12" customFormat="1" ht="12.75">
      <c r="A60" s="211" t="s">
        <v>60</v>
      </c>
      <c r="B60" s="229"/>
      <c r="C60" s="229">
        <f>SUM(C57:C59)</f>
        <v>179.98666180132858</v>
      </c>
      <c r="D60" s="229"/>
      <c r="I60" s="112"/>
      <c r="J60" s="212"/>
    </row>
    <row r="61" spans="1:10" s="4" customFormat="1" ht="12.75">
      <c r="A61" s="230"/>
      <c r="B61" s="78"/>
      <c r="C61" s="78"/>
      <c r="D61" s="78"/>
      <c r="I61" s="19"/>
      <c r="J61" s="291"/>
    </row>
    <row r="62" spans="1:10" s="4" customFormat="1" ht="12.75">
      <c r="A62" s="230"/>
      <c r="B62" s="78"/>
      <c r="C62" s="78"/>
      <c r="D62" s="78"/>
      <c r="E62" s="969" t="s">
        <v>44</v>
      </c>
      <c r="I62" s="19"/>
      <c r="J62" s="291"/>
    </row>
    <row r="63" spans="1:11" s="4" customFormat="1" ht="12.75">
      <c r="A63" s="4" t="s">
        <v>247</v>
      </c>
      <c r="C63" s="85"/>
      <c r="D63" s="85"/>
      <c r="E63" s="970"/>
      <c r="F63" s="85"/>
      <c r="G63" s="4" t="s">
        <v>995</v>
      </c>
      <c r="K63" s="86"/>
    </row>
    <row r="64" spans="1:7" s="4" customFormat="1" ht="12.75">
      <c r="A64" s="19" t="s">
        <v>1176</v>
      </c>
      <c r="C64" s="85"/>
      <c r="D64" s="85"/>
      <c r="E64" s="85">
        <v>2.4</v>
      </c>
      <c r="F64" s="85"/>
      <c r="G64" s="19" t="s">
        <v>994</v>
      </c>
    </row>
    <row r="65" spans="1:10" s="4" customFormat="1" ht="12.75">
      <c r="A65" s="4" t="s">
        <v>4</v>
      </c>
      <c r="C65" s="85"/>
      <c r="D65" s="85"/>
      <c r="E65" s="85">
        <v>21.7</v>
      </c>
      <c r="F65" s="85"/>
      <c r="G65" s="19" t="s">
        <v>994</v>
      </c>
      <c r="J65" s="22"/>
    </row>
    <row r="66" spans="1:7" ht="12.75">
      <c r="A66" s="82" t="s">
        <v>1177</v>
      </c>
      <c r="E66" s="92">
        <v>1.4</v>
      </c>
      <c r="F66" s="92"/>
      <c r="G66" s="19" t="s">
        <v>994</v>
      </c>
    </row>
    <row r="67" spans="1:6" s="12" customFormat="1" ht="12.75">
      <c r="A67" s="11"/>
      <c r="C67" s="88"/>
      <c r="D67" s="88"/>
      <c r="E67" s="88"/>
      <c r="F67" s="88"/>
    </row>
    <row r="70" spans="2:4" ht="12.75">
      <c r="B70" s="15"/>
      <c r="C70" s="118"/>
      <c r="D70" s="118"/>
    </row>
    <row r="71" ht="12.75">
      <c r="B71" s="118"/>
    </row>
  </sheetData>
  <sheetProtection/>
  <printOptions/>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dimension ref="A1:K20"/>
  <sheetViews>
    <sheetView zoomScalePageLayoutView="0" workbookViewId="0" topLeftCell="A1">
      <selection activeCell="I18" sqref="I18"/>
    </sheetView>
  </sheetViews>
  <sheetFormatPr defaultColWidth="8.8515625" defaultRowHeight="12.75"/>
  <cols>
    <col min="1" max="1" width="19.140625" style="0" customWidth="1"/>
    <col min="2" max="2" width="13.421875" style="0" customWidth="1"/>
    <col min="3" max="3" width="13.8515625" style="0" customWidth="1"/>
    <col min="4" max="4" width="2.28125" style="0" customWidth="1"/>
    <col min="5" max="5" width="22.140625" style="0" customWidth="1"/>
    <col min="6" max="6" width="13.00390625" style="0" customWidth="1"/>
    <col min="7" max="7" width="13.140625" style="0" customWidth="1"/>
    <col min="8" max="8" width="14.00390625" style="0" customWidth="1"/>
    <col min="9" max="9" width="13.140625" style="0" customWidth="1"/>
    <col min="10" max="10" width="12.421875" style="0" customWidth="1"/>
  </cols>
  <sheetData>
    <row r="1" ht="15.75">
      <c r="A1" s="113" t="s">
        <v>117</v>
      </c>
    </row>
    <row r="2" ht="12.75">
      <c r="A2" s="14" t="s">
        <v>808</v>
      </c>
    </row>
    <row r="4" spans="1:9" s="131" customFormat="1" ht="12.75">
      <c r="A4" s="69" t="s">
        <v>313</v>
      </c>
      <c r="B4" s="133">
        <f>Protein!H10</f>
        <v>470037156.07224464</v>
      </c>
      <c r="D4" s="70"/>
      <c r="E4" s="898" t="s">
        <v>323</v>
      </c>
      <c r="F4" s="139">
        <f>B4/((B16*B5*B6*B7)+(B17*B8*B9)+(B18*B11*B13*B14)-(B16*B8)-(B16*B11*B13))</f>
        <v>160845.1009846859</v>
      </c>
      <c r="I4" s="132"/>
    </row>
    <row r="5" spans="1:9" s="131" customFormat="1" ht="12.75">
      <c r="A5" s="60" t="s">
        <v>297</v>
      </c>
      <c r="B5" s="60">
        <v>0.9</v>
      </c>
      <c r="D5" s="4"/>
      <c r="E5" s="898" t="s">
        <v>324</v>
      </c>
      <c r="F5" s="138">
        <f>F4*B11</f>
        <v>4825.353029540577</v>
      </c>
      <c r="I5" s="132"/>
    </row>
    <row r="6" spans="1:9" s="131" customFormat="1" ht="12.75">
      <c r="A6" s="116" t="s">
        <v>299</v>
      </c>
      <c r="B6" s="60">
        <v>0.9</v>
      </c>
      <c r="D6" s="4"/>
      <c r="E6" s="898" t="s">
        <v>921</v>
      </c>
      <c r="F6" s="140">
        <f>F4*B5*B6*B7</f>
        <v>2605690.6359519116</v>
      </c>
      <c r="I6" s="132"/>
    </row>
    <row r="7" spans="1:9" s="131" customFormat="1" ht="12.75">
      <c r="A7" s="116" t="s">
        <v>317</v>
      </c>
      <c r="B7" s="60">
        <v>20</v>
      </c>
      <c r="D7" s="4"/>
      <c r="E7" s="900" t="s">
        <v>318</v>
      </c>
      <c r="F7" s="138">
        <f>(F4*B8)+(F4*B11*B13)</f>
        <v>33761.38669668558</v>
      </c>
      <c r="I7" s="132"/>
    </row>
    <row r="8" spans="1:10" s="131" customFormat="1" ht="12.75">
      <c r="A8" s="914" t="s">
        <v>952</v>
      </c>
      <c r="B8" s="894">
        <v>0.2</v>
      </c>
      <c r="D8" s="4"/>
      <c r="E8" s="899" t="s">
        <v>922</v>
      </c>
      <c r="F8" s="140">
        <f>(F4*B5*B6*B7)-(F4*B8)-(F5*B13)</f>
        <v>2571929.249255226</v>
      </c>
      <c r="G8" s="138"/>
      <c r="H8" s="135"/>
      <c r="I8" s="144"/>
      <c r="J8" s="135"/>
    </row>
    <row r="9" spans="1:10" s="131" customFormat="1" ht="12.75">
      <c r="A9" s="907" t="s">
        <v>943</v>
      </c>
      <c r="B9" s="137">
        <v>0.7</v>
      </c>
      <c r="C9" s="19"/>
      <c r="D9" s="19"/>
      <c r="F9" s="138"/>
      <c r="J9" s="135"/>
    </row>
    <row r="10" spans="1:10" s="131" customFormat="1" ht="12.75">
      <c r="A10" s="894" t="s">
        <v>303</v>
      </c>
      <c r="B10" s="895">
        <v>0.875</v>
      </c>
      <c r="D10" s="4"/>
      <c r="F10" s="135"/>
      <c r="G10" s="139"/>
      <c r="H10" s="135"/>
      <c r="I10" s="135"/>
      <c r="J10" s="136"/>
    </row>
    <row r="11" spans="1:11" s="131" customFormat="1" ht="12.75">
      <c r="A11" s="894" t="s">
        <v>304</v>
      </c>
      <c r="B11" s="894">
        <f>3/100</f>
        <v>0.03</v>
      </c>
      <c r="C11" s="132" t="s">
        <v>325</v>
      </c>
      <c r="D11" s="4"/>
      <c r="F11" s="135"/>
      <c r="G11" s="138"/>
      <c r="H11" s="135"/>
      <c r="K11" s="141"/>
    </row>
    <row r="12" spans="1:10" s="131" customFormat="1" ht="12.75">
      <c r="A12" s="894" t="s">
        <v>305</v>
      </c>
      <c r="B12" s="895">
        <v>0.625</v>
      </c>
      <c r="D12" s="4"/>
      <c r="F12" s="135"/>
      <c r="G12" s="135"/>
      <c r="H12" s="135"/>
      <c r="I12" s="142"/>
      <c r="J12" s="139"/>
    </row>
    <row r="13" spans="1:10" s="131" customFormat="1" ht="16.5" customHeight="1">
      <c r="A13" s="907" t="s">
        <v>953</v>
      </c>
      <c r="B13" s="121">
        <v>0.33</v>
      </c>
      <c r="C13" s="19"/>
      <c r="D13" s="19"/>
      <c r="J13" s="135"/>
    </row>
    <row r="14" spans="1:10" s="131" customFormat="1" ht="12.75">
      <c r="A14" s="907" t="s">
        <v>944</v>
      </c>
      <c r="B14" s="48">
        <v>0.7</v>
      </c>
      <c r="C14" s="19"/>
      <c r="D14" s="19"/>
      <c r="J14" s="135"/>
    </row>
    <row r="15" spans="1:10" s="131" customFormat="1" ht="25.5">
      <c r="A15" s="896"/>
      <c r="B15" s="903" t="s">
        <v>292</v>
      </c>
      <c r="C15" s="890" t="s">
        <v>919</v>
      </c>
      <c r="D15" s="924"/>
      <c r="E15" s="135"/>
      <c r="F15" s="440" t="s">
        <v>923</v>
      </c>
      <c r="G15" s="440" t="s">
        <v>924</v>
      </c>
      <c r="H15" s="439" t="s">
        <v>326</v>
      </c>
      <c r="I15" s="268" t="s">
        <v>63</v>
      </c>
      <c r="J15" s="135"/>
    </row>
    <row r="16" spans="1:10" s="131" customFormat="1" ht="12.75">
      <c r="A16" s="135" t="s">
        <v>320</v>
      </c>
      <c r="B16" s="897">
        <v>180</v>
      </c>
      <c r="C16" s="901">
        <v>26.06934291333217</v>
      </c>
      <c r="D16" s="19"/>
      <c r="E16" s="879" t="s">
        <v>904</v>
      </c>
      <c r="F16" s="139">
        <f>F4*B8*B9</f>
        <v>22518.31413785603</v>
      </c>
      <c r="G16" s="139">
        <f>F5*B13*B14</f>
        <v>1114.6565498238733</v>
      </c>
      <c r="H16" s="143">
        <f>F8</f>
        <v>2571929.249255226</v>
      </c>
      <c r="I16" s="138">
        <f>SUM(F16:H16)</f>
        <v>2595562.219942906</v>
      </c>
      <c r="J16" s="135"/>
    </row>
    <row r="17" spans="1:10" s="131" customFormat="1" ht="12.75">
      <c r="A17" s="934" t="s">
        <v>321</v>
      </c>
      <c r="B17" s="134">
        <v>300</v>
      </c>
      <c r="C17" s="902">
        <f>($C$16/$B$16)*B17</f>
        <v>43.448904855553614</v>
      </c>
      <c r="D17" s="14"/>
      <c r="E17" s="77" t="s">
        <v>903</v>
      </c>
      <c r="F17" s="138">
        <f>F16*B17</f>
        <v>6755494.241356809</v>
      </c>
      <c r="G17" s="138">
        <f>G16*B18</f>
        <v>334396.964947162</v>
      </c>
      <c r="H17" s="140">
        <f>H16*B16</f>
        <v>462947264.8659407</v>
      </c>
      <c r="I17" s="138">
        <f>SUM(F17:H17)</f>
        <v>470037156.07224464</v>
      </c>
      <c r="J17" s="135"/>
    </row>
    <row r="18" spans="1:10" s="131" customFormat="1" ht="12.75">
      <c r="A18" s="934" t="s">
        <v>322</v>
      </c>
      <c r="B18" s="134">
        <v>300</v>
      </c>
      <c r="C18" s="902">
        <f>($C$16/$B$16)*B18</f>
        <v>43.448904855553614</v>
      </c>
      <c r="D18" s="880"/>
      <c r="E18" s="77" t="s">
        <v>905</v>
      </c>
      <c r="F18" s="904">
        <f>F16*C17</f>
        <v>978396.0884831744</v>
      </c>
      <c r="G18" s="904">
        <f>G16*C18</f>
        <v>48430.60637991713</v>
      </c>
      <c r="H18" s="904">
        <f>H16*C16</f>
        <v>67048505.54766346</v>
      </c>
      <c r="I18" s="138">
        <f>SUM(F18:H18)</f>
        <v>68075332.24252655</v>
      </c>
      <c r="J18" s="135"/>
    </row>
    <row r="19" spans="1:9" s="131" customFormat="1" ht="12.75">
      <c r="A19" s="135"/>
      <c r="B19" s="82"/>
      <c r="D19"/>
      <c r="E19" s="77" t="s">
        <v>906</v>
      </c>
      <c r="F19" s="244">
        <f>(F18*453.592/17000000)/365</f>
        <v>0.07152177897941339</v>
      </c>
      <c r="G19" s="244">
        <f>(G18*453.592/17000000)/365</f>
        <v>0.0035403280594809624</v>
      </c>
      <c r="H19" s="244">
        <f>(H18*453.592/17000000)/365</f>
        <v>4.90131599168022</v>
      </c>
      <c r="I19" s="905">
        <f>SUM(F19:H19)</f>
        <v>4.976378098719114</v>
      </c>
    </row>
    <row r="20" spans="4:9" s="131" customFormat="1" ht="12.75">
      <c r="D20"/>
      <c r="I20" s="132"/>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K46"/>
  <sheetViews>
    <sheetView zoomScalePageLayoutView="0" workbookViewId="0" topLeftCell="A1">
      <selection activeCell="C6" sqref="C6"/>
    </sheetView>
  </sheetViews>
  <sheetFormatPr defaultColWidth="11.421875" defaultRowHeight="12.75"/>
  <cols>
    <col min="1" max="1" width="27.28125" style="14" customWidth="1"/>
    <col min="2" max="2" width="15.28125" style="14" customWidth="1"/>
    <col min="3" max="3" width="11.421875" style="14" bestFit="1" customWidth="1"/>
    <col min="4" max="4" width="2.28125" style="14" customWidth="1"/>
    <col min="5" max="5" width="20.28125" style="14" customWidth="1"/>
    <col min="6" max="6" width="15.7109375" style="14" customWidth="1"/>
    <col min="7" max="7" width="13.421875" style="14" customWidth="1"/>
    <col min="8" max="8" width="16.140625" style="14" customWidth="1"/>
    <col min="9" max="9" width="16.421875" style="14" customWidth="1"/>
    <col min="10" max="16384" width="11.421875" style="14" customWidth="1"/>
  </cols>
  <sheetData>
    <row r="1" ht="15.75">
      <c r="A1" s="113" t="s">
        <v>926</v>
      </c>
    </row>
    <row r="2" ht="12.75">
      <c r="A2" s="14" t="s">
        <v>808</v>
      </c>
    </row>
    <row r="3" ht="12.75"/>
    <row r="4" spans="1:8" ht="15.75">
      <c r="A4" s="908" t="s">
        <v>328</v>
      </c>
      <c r="B4" s="497"/>
      <c r="C4" s="497"/>
      <c r="D4" s="497"/>
      <c r="E4" s="497"/>
      <c r="F4" s="909"/>
      <c r="G4" s="497"/>
      <c r="H4" s="497"/>
    </row>
    <row r="5" spans="1:8" ht="12.75">
      <c r="A5" s="38" t="s">
        <v>357</v>
      </c>
      <c r="B5" s="910">
        <f>Protein!H11</f>
        <v>5033694701.78898</v>
      </c>
      <c r="C5" s="497"/>
      <c r="D5" s="497"/>
      <c r="E5" s="497" t="s">
        <v>1020</v>
      </c>
      <c r="F5" s="1121">
        <f>B5/(B6-((B11*2)/(B8*B10*(B7/B6))))</f>
        <v>18425022.88258911</v>
      </c>
      <c r="G5" s="497"/>
      <c r="H5" s="497"/>
    </row>
    <row r="6" spans="1:8" ht="12.75">
      <c r="A6" s="38" t="s">
        <v>1021</v>
      </c>
      <c r="B6" s="910">
        <v>274</v>
      </c>
      <c r="C6" s="496" t="s">
        <v>1022</v>
      </c>
      <c r="D6" s="497"/>
      <c r="E6" s="497" t="s">
        <v>332</v>
      </c>
      <c r="F6" s="189">
        <f>B14*((F5*B11)/(B8*B10))</f>
        <v>646492.030968039</v>
      </c>
      <c r="G6" s="497"/>
      <c r="H6" s="497"/>
    </row>
    <row r="7" spans="1:8" ht="12.75">
      <c r="A7" s="38" t="s">
        <v>329</v>
      </c>
      <c r="B7" s="497">
        <v>240</v>
      </c>
      <c r="C7" s="496" t="s">
        <v>782</v>
      </c>
      <c r="D7" s="496"/>
      <c r="E7" s="496" t="s">
        <v>318</v>
      </c>
      <c r="F7" s="189">
        <f>F8+F9</f>
        <v>5721454.474067144</v>
      </c>
      <c r="H7" s="497"/>
    </row>
    <row r="8" spans="1:6" ht="12.75">
      <c r="A8" s="38" t="s">
        <v>330</v>
      </c>
      <c r="B8" s="497">
        <v>0.9</v>
      </c>
      <c r="C8" s="497"/>
      <c r="D8" s="497"/>
      <c r="E8" s="899" t="s">
        <v>930</v>
      </c>
      <c r="F8" s="189">
        <f>(F5*B11)</f>
        <v>5527506.864776732</v>
      </c>
    </row>
    <row r="9" spans="1:6" ht="12.75">
      <c r="A9" s="38" t="s">
        <v>333</v>
      </c>
      <c r="B9" s="497">
        <v>0.5</v>
      </c>
      <c r="C9" s="497"/>
      <c r="D9" s="497"/>
      <c r="E9" s="899" t="s">
        <v>931</v>
      </c>
      <c r="F9" s="189">
        <f>(F6*B16)</f>
        <v>193947.60929041167</v>
      </c>
    </row>
    <row r="10" spans="1:8" ht="12.75">
      <c r="A10" s="38" t="s">
        <v>299</v>
      </c>
      <c r="B10" s="497">
        <v>0.95</v>
      </c>
      <c r="C10" s="497"/>
      <c r="D10" s="497"/>
      <c r="H10" s="911"/>
    </row>
    <row r="11" spans="1:8" ht="12.75">
      <c r="A11" s="914" t="s">
        <v>945</v>
      </c>
      <c r="B11" s="912">
        <v>0.3</v>
      </c>
      <c r="C11" s="497"/>
      <c r="D11" s="497"/>
      <c r="H11" s="497"/>
    </row>
    <row r="12" spans="1:8" ht="12.75">
      <c r="A12" s="914" t="s">
        <v>946</v>
      </c>
      <c r="B12" s="912">
        <v>0.7</v>
      </c>
      <c r="C12" s="497"/>
      <c r="D12" s="497"/>
      <c r="E12" s="497"/>
      <c r="F12" s="497"/>
      <c r="G12" s="497"/>
      <c r="H12" s="497"/>
    </row>
    <row r="13" spans="1:8" ht="12.75">
      <c r="A13" s="38" t="s">
        <v>335</v>
      </c>
      <c r="B13" s="909" t="s">
        <v>336</v>
      </c>
      <c r="C13" s="496" t="s">
        <v>337</v>
      </c>
      <c r="D13" s="496"/>
      <c r="E13" s="497"/>
      <c r="F13" s="497"/>
      <c r="G13" s="497"/>
      <c r="H13" s="497"/>
    </row>
    <row r="14" spans="1:8" ht="12.75">
      <c r="A14" s="38" t="s">
        <v>304</v>
      </c>
      <c r="B14" s="497">
        <f>1/10</f>
        <v>0.1</v>
      </c>
      <c r="C14" s="496" t="s">
        <v>337</v>
      </c>
      <c r="D14" s="496"/>
      <c r="E14" s="497"/>
      <c r="F14" s="497"/>
      <c r="G14" s="497"/>
      <c r="H14" s="497"/>
    </row>
    <row r="15" spans="1:11" ht="12.75">
      <c r="A15" s="38" t="s">
        <v>305</v>
      </c>
      <c r="B15" s="497"/>
      <c r="C15" s="497"/>
      <c r="D15" s="497"/>
      <c r="E15" s="497"/>
      <c r="F15" s="497"/>
      <c r="G15" s="912"/>
      <c r="H15" s="912"/>
      <c r="I15" s="40"/>
      <c r="J15" s="40"/>
      <c r="K15" s="40"/>
    </row>
    <row r="16" spans="1:11" ht="12.75">
      <c r="A16" s="914" t="s">
        <v>947</v>
      </c>
      <c r="B16" s="912">
        <v>0.3</v>
      </c>
      <c r="C16" s="497"/>
      <c r="D16" s="497"/>
      <c r="E16" s="497"/>
      <c r="F16" s="33"/>
      <c r="G16" s="913"/>
      <c r="H16" s="912"/>
      <c r="I16" s="213"/>
      <c r="J16" s="40"/>
      <c r="K16" s="40"/>
    </row>
    <row r="17" spans="1:11" ht="12.75">
      <c r="A17" s="914" t="s">
        <v>948</v>
      </c>
      <c r="B17" s="912">
        <v>0.7</v>
      </c>
      <c r="C17" s="497"/>
      <c r="D17" s="497"/>
      <c r="E17" s="33"/>
      <c r="G17" s="40"/>
      <c r="H17" s="40"/>
      <c r="I17" s="40"/>
      <c r="J17" s="40"/>
      <c r="K17" s="40"/>
    </row>
    <row r="18" spans="1:11" ht="38.25">
      <c r="A18" s="914"/>
      <c r="B18" s="906" t="s">
        <v>292</v>
      </c>
      <c r="C18" s="890" t="s">
        <v>919</v>
      </c>
      <c r="D18" s="924"/>
      <c r="E18" s="33"/>
      <c r="F18" s="440" t="s">
        <v>932</v>
      </c>
      <c r="G18" s="440" t="s">
        <v>933</v>
      </c>
      <c r="H18" s="925" t="s">
        <v>63</v>
      </c>
      <c r="I18" s="40"/>
      <c r="J18" s="238"/>
      <c r="K18" s="40"/>
    </row>
    <row r="19" spans="1:11" ht="12.75">
      <c r="A19" s="914" t="s">
        <v>928</v>
      </c>
      <c r="B19" s="915">
        <v>5</v>
      </c>
      <c r="C19" s="497"/>
      <c r="D19" s="497"/>
      <c r="E19" s="879" t="s">
        <v>904</v>
      </c>
      <c r="F19" s="188">
        <f>F5*B11*B12</f>
        <v>3869254.805343712</v>
      </c>
      <c r="G19" s="926">
        <f>F6*B16*B17</f>
        <v>135763.32650328815</v>
      </c>
      <c r="H19" s="927">
        <f>F19+G19</f>
        <v>4005018.131847</v>
      </c>
      <c r="I19" s="40"/>
      <c r="J19" s="238"/>
      <c r="K19" s="40"/>
    </row>
    <row r="20" spans="1:11" ht="12.75">
      <c r="A20" s="915" t="s">
        <v>929</v>
      </c>
      <c r="B20" s="915">
        <v>5</v>
      </c>
      <c r="E20" s="77" t="s">
        <v>903</v>
      </c>
      <c r="F20" s="17">
        <f>F19*B19</f>
        <v>19346274.02671856</v>
      </c>
      <c r="G20" s="76">
        <f>G19*B20</f>
        <v>678816.6325164407</v>
      </c>
      <c r="H20" s="76">
        <f>SUM(F20:G20)</f>
        <v>20025090.659235</v>
      </c>
      <c r="I20" s="40"/>
      <c r="J20" s="40"/>
      <c r="K20" s="40"/>
    </row>
    <row r="21" spans="5:11" ht="12.75">
      <c r="E21" s="77" t="s">
        <v>905</v>
      </c>
      <c r="F21" s="910">
        <f>F20*C20</f>
        <v>0</v>
      </c>
      <c r="G21" s="928">
        <f>G19*C21</f>
        <v>0</v>
      </c>
      <c r="H21" s="76">
        <f>SUM(F21:G21)</f>
        <v>0</v>
      </c>
      <c r="I21" s="40"/>
      <c r="J21" s="40"/>
      <c r="K21" s="40"/>
    </row>
    <row r="22" spans="5:11" ht="12.75">
      <c r="E22" s="77" t="s">
        <v>906</v>
      </c>
      <c r="F22" s="244">
        <f>(F21*453.592/17000000)/365</f>
        <v>0</v>
      </c>
      <c r="G22" s="244">
        <f>(G21*453.592/17000000)/365</f>
        <v>0</v>
      </c>
      <c r="H22" s="76">
        <f>SUM(F22:G22)</f>
        <v>0</v>
      </c>
      <c r="I22" s="40"/>
      <c r="J22" s="40"/>
      <c r="K22" s="40"/>
    </row>
    <row r="23" spans="2:7" ht="12.75">
      <c r="B23" s="177"/>
      <c r="F23" s="33"/>
      <c r="G23" s="915"/>
    </row>
    <row r="24" s="33" customFormat="1" ht="15.75">
      <c r="A24" s="923" t="s">
        <v>118</v>
      </c>
    </row>
    <row r="25" spans="1:6" s="33" customFormat="1" ht="12.75">
      <c r="A25" s="38" t="s">
        <v>934</v>
      </c>
      <c r="B25" s="910">
        <f>Protein!H12</f>
        <v>1657701795.3882456</v>
      </c>
      <c r="E25" s="497" t="s">
        <v>331</v>
      </c>
      <c r="F25" s="920">
        <f>B26/((B39*B27*B28*B29)+(B19*B30*B31)+(B20*B33*B35*B36)-(B19*B30)-(B20*B33*B35))</f>
        <v>2422312.0114912596</v>
      </c>
    </row>
    <row r="26" spans="1:6" s="33" customFormat="1" ht="12.75">
      <c r="A26" s="38" t="s">
        <v>935</v>
      </c>
      <c r="B26" s="188">
        <f>B25-H20</f>
        <v>1637676704.7290106</v>
      </c>
      <c r="E26" s="497" t="s">
        <v>332</v>
      </c>
      <c r="F26" s="920">
        <f>F25*B33</f>
        <v>242231.20114912596</v>
      </c>
    </row>
    <row r="27" spans="1:6" s="33" customFormat="1" ht="12.75">
      <c r="A27" s="38" t="s">
        <v>329</v>
      </c>
      <c r="B27" s="917">
        <v>155</v>
      </c>
      <c r="C27" s="38" t="s">
        <v>781</v>
      </c>
      <c r="D27" s="38"/>
      <c r="E27" s="33" t="s">
        <v>921</v>
      </c>
      <c r="F27" s="920">
        <f>F25*B27*B28*B29</f>
        <v>327775149.8349398</v>
      </c>
    </row>
    <row r="28" spans="1:6" s="33" customFormat="1" ht="12.75">
      <c r="A28" s="38" t="s">
        <v>330</v>
      </c>
      <c r="B28" s="918">
        <v>0.9</v>
      </c>
      <c r="D28" s="38"/>
      <c r="E28" s="900" t="s">
        <v>318</v>
      </c>
      <c r="F28" s="920">
        <f>F29+F30</f>
        <v>799362.9637921156</v>
      </c>
    </row>
    <row r="29" spans="1:8" s="33" customFormat="1" ht="15">
      <c r="A29" s="38" t="s">
        <v>299</v>
      </c>
      <c r="B29" s="33">
        <v>0.97</v>
      </c>
      <c r="E29" s="929" t="s">
        <v>930</v>
      </c>
      <c r="F29" s="932">
        <f>F25*B30</f>
        <v>726693.6034473778</v>
      </c>
      <c r="G29" s="38"/>
      <c r="H29" s="919"/>
    </row>
    <row r="30" spans="1:8" s="33" customFormat="1" ht="12.75">
      <c r="A30" s="914" t="s">
        <v>301</v>
      </c>
      <c r="B30" s="915">
        <v>0.3</v>
      </c>
      <c r="E30" s="929" t="s">
        <v>931</v>
      </c>
      <c r="F30" s="188">
        <f>F26*B35</f>
        <v>72669.36034473778</v>
      </c>
      <c r="G30" s="920"/>
      <c r="H30" s="920"/>
    </row>
    <row r="31" spans="1:7" s="33" customFormat="1" ht="12.75">
      <c r="A31" s="914" t="s">
        <v>334</v>
      </c>
      <c r="B31" s="915">
        <v>0.7</v>
      </c>
      <c r="E31" s="930" t="s">
        <v>307</v>
      </c>
      <c r="F31" s="920">
        <f>F27-F28</f>
        <v>326975786.87114763</v>
      </c>
      <c r="G31" s="921"/>
    </row>
    <row r="32" spans="1:2" s="33" customFormat="1" ht="12.75">
      <c r="A32" s="914" t="s">
        <v>335</v>
      </c>
      <c r="B32" s="913" t="s">
        <v>341</v>
      </c>
    </row>
    <row r="33" spans="1:8" s="33" customFormat="1" ht="15">
      <c r="A33" s="914" t="s">
        <v>304</v>
      </c>
      <c r="B33" s="915">
        <f>1/10</f>
        <v>0.1</v>
      </c>
      <c r="C33" s="38" t="s">
        <v>781</v>
      </c>
      <c r="D33" s="38"/>
      <c r="E33" s="919"/>
      <c r="F33" s="38"/>
      <c r="G33" s="38"/>
      <c r="H33" s="38"/>
    </row>
    <row r="34" spans="1:9" s="33" customFormat="1" ht="12.75">
      <c r="A34" s="914" t="s">
        <v>305</v>
      </c>
      <c r="B34" s="915"/>
      <c r="I34" s="920"/>
    </row>
    <row r="35" spans="1:9" s="33" customFormat="1" ht="12.75">
      <c r="A35" s="914" t="s">
        <v>306</v>
      </c>
      <c r="B35" s="915">
        <v>0.3</v>
      </c>
      <c r="F35" s="188"/>
      <c r="I35" s="920">
        <f>I38+H19</f>
        <v>331540359.0776491</v>
      </c>
    </row>
    <row r="36" spans="1:10" s="33" customFormat="1" ht="12.75">
      <c r="A36" s="914" t="s">
        <v>340</v>
      </c>
      <c r="B36" s="915">
        <v>0.7</v>
      </c>
      <c r="H36" s="931"/>
      <c r="I36" s="921"/>
      <c r="J36" s="188"/>
    </row>
    <row r="37" spans="1:9" ht="38.25">
      <c r="A37" s="914"/>
      <c r="B37" s="906" t="s">
        <v>292</v>
      </c>
      <c r="C37" s="890" t="s">
        <v>919</v>
      </c>
      <c r="F37" s="933" t="s">
        <v>936</v>
      </c>
      <c r="G37" s="376" t="s">
        <v>937</v>
      </c>
      <c r="H37" s="376" t="s">
        <v>938</v>
      </c>
      <c r="I37" s="376" t="s">
        <v>63</v>
      </c>
    </row>
    <row r="38" spans="1:9" ht="12.75">
      <c r="A38" s="915" t="s">
        <v>118</v>
      </c>
      <c r="B38" s="915">
        <v>5</v>
      </c>
      <c r="C38" s="497"/>
      <c r="E38" s="879" t="s">
        <v>904</v>
      </c>
      <c r="F38" s="175">
        <f>F25*B30*B31</f>
        <v>508685.52241316444</v>
      </c>
      <c r="G38" s="175">
        <f>F26*B35*B36</f>
        <v>50868.55224131644</v>
      </c>
      <c r="H38" s="175">
        <f>F31</f>
        <v>326975786.87114763</v>
      </c>
      <c r="I38" s="175">
        <f>F38+G38+H38</f>
        <v>327535340.9458021</v>
      </c>
    </row>
    <row r="39" spans="1:9" ht="12.75">
      <c r="A39" s="914" t="s">
        <v>928</v>
      </c>
      <c r="B39" s="915">
        <v>5</v>
      </c>
      <c r="E39" s="77" t="s">
        <v>903</v>
      </c>
      <c r="F39" s="175">
        <f>F25*B30*B31*B19</f>
        <v>2543427.6120658224</v>
      </c>
      <c r="G39" s="175">
        <f>F26*B35*B36*B20</f>
        <v>254342.76120658222</v>
      </c>
      <c r="H39" s="175">
        <f>F31*B38</f>
        <v>1634878934.3557382</v>
      </c>
      <c r="I39" s="175">
        <f>F39+G39+H39</f>
        <v>1637676704.7290106</v>
      </c>
    </row>
    <row r="40" spans="1:9" ht="12.75">
      <c r="A40" s="915" t="s">
        <v>929</v>
      </c>
      <c r="B40" s="915">
        <v>5</v>
      </c>
      <c r="E40" s="77" t="s">
        <v>905</v>
      </c>
      <c r="F40" s="175">
        <f>F39*C39</f>
        <v>0</v>
      </c>
      <c r="G40" s="176">
        <f>G39*C40</f>
        <v>0</v>
      </c>
      <c r="H40" s="176">
        <f>H39*C38</f>
        <v>0</v>
      </c>
      <c r="I40" s="175">
        <f>F40+G40+H40</f>
        <v>0</v>
      </c>
    </row>
    <row r="41" spans="5:9" ht="12.75">
      <c r="E41" s="77" t="s">
        <v>906</v>
      </c>
      <c r="F41" s="244">
        <f>(F40*453.592/17000000)/365</f>
        <v>0</v>
      </c>
      <c r="G41" s="244">
        <f>(G40*453.592/17000000)/365</f>
        <v>0</v>
      </c>
      <c r="H41" s="244">
        <f>(H40*453.592/17000000)/365</f>
        <v>0</v>
      </c>
      <c r="I41" s="905">
        <f>SUM(F41:H41)</f>
        <v>0</v>
      </c>
    </row>
    <row r="42" spans="1:7" ht="12.75">
      <c r="A42" s="14" t="s">
        <v>927</v>
      </c>
      <c r="E42" s="38"/>
      <c r="F42" s="33"/>
      <c r="G42" s="915"/>
    </row>
    <row r="43" spans="1:7" ht="12.75">
      <c r="A43" s="922" t="s">
        <v>292</v>
      </c>
      <c r="B43" s="915">
        <v>5</v>
      </c>
      <c r="F43" s="33"/>
      <c r="G43" s="915"/>
    </row>
    <row r="44" spans="1:7" ht="12.75">
      <c r="A44" s="497" t="s">
        <v>338</v>
      </c>
      <c r="B44" s="916">
        <f>B38/0.7</f>
        <v>7.142857142857143</v>
      </c>
      <c r="F44" s="33"/>
      <c r="G44" s="915"/>
    </row>
    <row r="45" spans="1:7" ht="12.75">
      <c r="A45" s="204" t="s">
        <v>339</v>
      </c>
      <c r="B45" s="14">
        <v>2.1</v>
      </c>
      <c r="E45" s="177"/>
      <c r="F45" s="33"/>
      <c r="G45" s="915"/>
    </row>
    <row r="46" spans="1:7" ht="12.75">
      <c r="A46" s="14" t="s">
        <v>777</v>
      </c>
      <c r="B46" s="177">
        <f>B44*B45</f>
        <v>15.000000000000002</v>
      </c>
      <c r="F46" s="33"/>
      <c r="G46" s="915"/>
    </row>
    <row r="47" ht="12.75"/>
  </sheetData>
  <sheetProtection/>
  <printOptions/>
  <pageMargins left="0.7" right="0.7" top="0.75" bottom="0.75" header="0.3" footer="0.3"/>
  <pageSetup orientation="portrait" paperSize="9"/>
  <legacyDrawing r:id="rId2"/>
</worksheet>
</file>

<file path=xl/worksheets/sheet22.xml><?xml version="1.0" encoding="utf-8"?>
<worksheet xmlns="http://schemas.openxmlformats.org/spreadsheetml/2006/main" xmlns:r="http://schemas.openxmlformats.org/officeDocument/2006/relationships">
  <dimension ref="A1:M48"/>
  <sheetViews>
    <sheetView zoomScalePageLayoutView="0" workbookViewId="0" topLeftCell="A1">
      <selection activeCell="E48" sqref="E48"/>
    </sheetView>
  </sheetViews>
  <sheetFormatPr defaultColWidth="8.8515625" defaultRowHeight="12.75"/>
  <cols>
    <col min="1" max="1" width="26.140625" style="0" customWidth="1"/>
    <col min="2" max="2" width="13.421875" style="0" customWidth="1"/>
    <col min="3" max="3" width="11.140625" style="0" customWidth="1"/>
    <col min="4" max="4" width="2.140625" style="0" customWidth="1"/>
    <col min="5" max="5" width="20.421875" style="0" customWidth="1"/>
    <col min="6" max="6" width="13.28125" style="0" customWidth="1"/>
    <col min="7" max="7" width="11.28125" style="0" customWidth="1"/>
    <col min="8" max="8" width="16.8515625" style="0" customWidth="1"/>
    <col min="9" max="9" width="13.421875" style="0" customWidth="1"/>
    <col min="10" max="11" width="8.8515625" style="0" customWidth="1"/>
    <col min="12" max="12" width="11.7109375" style="0" customWidth="1"/>
  </cols>
  <sheetData>
    <row r="1" spans="1:11" ht="15.75">
      <c r="A1" s="113" t="s">
        <v>812</v>
      </c>
      <c r="K1" s="14"/>
    </row>
    <row r="2" spans="1:11" ht="12.75">
      <c r="A2" s="14" t="s">
        <v>808</v>
      </c>
      <c r="K2" s="170"/>
    </row>
    <row r="3" spans="5:6" ht="12.75">
      <c r="E3" s="170" t="s">
        <v>331</v>
      </c>
      <c r="F3" s="153">
        <f>B5/((B19*B6*B7*B8)+(B20*B9*B10)+(B21*B12*B14*B15)-(B17*B9)-(B18*B12*B14))</f>
        <v>338263.48528729624</v>
      </c>
    </row>
    <row r="4" spans="5:6" ht="12.75">
      <c r="E4" s="170" t="s">
        <v>346</v>
      </c>
      <c r="F4" s="152">
        <f>F3*B12</f>
        <v>19897.85207572331</v>
      </c>
    </row>
    <row r="5" spans="1:13" s="69" customFormat="1" ht="12.75">
      <c r="A5" s="69" t="s">
        <v>313</v>
      </c>
      <c r="B5" s="148">
        <f>Protein!H13</f>
        <v>289153321.6270657</v>
      </c>
      <c r="E5" s="170" t="s">
        <v>921</v>
      </c>
      <c r="F5" s="152">
        <f>F3*B6*B7*B8</f>
        <v>17251437.749652106</v>
      </c>
      <c r="M5" s="151"/>
    </row>
    <row r="6" spans="1:7" s="69" customFormat="1" ht="12.75">
      <c r="A6" s="122" t="s">
        <v>329</v>
      </c>
      <c r="B6" s="69">
        <v>80</v>
      </c>
      <c r="E6" s="874" t="s">
        <v>898</v>
      </c>
      <c r="F6" s="154">
        <f>F7+F8</f>
        <v>67471.80749313449</v>
      </c>
      <c r="G6" s="154"/>
    </row>
    <row r="7" spans="1:6" s="69" customFormat="1" ht="12.75">
      <c r="A7" s="69" t="s">
        <v>330</v>
      </c>
      <c r="B7" s="69">
        <v>0.75</v>
      </c>
      <c r="E7" s="875" t="s">
        <v>288</v>
      </c>
      <c r="F7" s="148">
        <f>F3*B9</f>
        <v>61502.4518704175</v>
      </c>
    </row>
    <row r="8" spans="1:6" s="69" customFormat="1" ht="12.75">
      <c r="A8" s="122" t="s">
        <v>299</v>
      </c>
      <c r="B8" s="69">
        <v>0.85</v>
      </c>
      <c r="E8" s="875" t="s">
        <v>289</v>
      </c>
      <c r="F8" s="148">
        <f>F4*B14</f>
        <v>5969.355622716993</v>
      </c>
    </row>
    <row r="9" spans="1:6" s="69" customFormat="1" ht="12.75">
      <c r="A9" s="457" t="s">
        <v>945</v>
      </c>
      <c r="B9" s="892">
        <f>1/5.5</f>
        <v>0.18181818181818182</v>
      </c>
      <c r="E9" s="874" t="s">
        <v>365</v>
      </c>
      <c r="F9" s="154">
        <f>F10+F11</f>
        <v>17183965.942158975</v>
      </c>
    </row>
    <row r="10" spans="1:9" s="69" customFormat="1" ht="12.75">
      <c r="A10" s="457" t="s">
        <v>950</v>
      </c>
      <c r="B10" s="149">
        <v>0.3</v>
      </c>
      <c r="E10" s="875" t="s">
        <v>288</v>
      </c>
      <c r="F10" s="148">
        <f>(F5/2)-F7</f>
        <v>8564216.422955636</v>
      </c>
      <c r="G10" s="149"/>
      <c r="H10" s="149"/>
      <c r="I10" s="149"/>
    </row>
    <row r="11" spans="1:9" s="69" customFormat="1" ht="12.75">
      <c r="A11" s="149" t="s">
        <v>335</v>
      </c>
      <c r="B11" s="892">
        <f>7/12</f>
        <v>0.5833333333333334</v>
      </c>
      <c r="E11" s="384" t="s">
        <v>289</v>
      </c>
      <c r="F11" s="154">
        <f>(F5/2)-F8</f>
        <v>8619749.519203337</v>
      </c>
      <c r="I11" s="149"/>
    </row>
    <row r="12" spans="1:9" s="69" customFormat="1" ht="12.75">
      <c r="A12" s="149" t="s">
        <v>304</v>
      </c>
      <c r="B12" s="892">
        <f>1/17</f>
        <v>0.058823529411764705</v>
      </c>
      <c r="E12" s="149"/>
      <c r="F12" s="153"/>
      <c r="G12" s="149"/>
      <c r="H12" s="153"/>
      <c r="I12" s="149"/>
    </row>
    <row r="13" spans="1:10" s="69" customFormat="1" ht="12.75">
      <c r="A13" s="149" t="s">
        <v>305</v>
      </c>
      <c r="B13" s="81" t="s">
        <v>248</v>
      </c>
      <c r="E13" s="149"/>
      <c r="F13" s="149"/>
      <c r="G13" s="149"/>
      <c r="H13" s="936"/>
      <c r="I13" s="152"/>
      <c r="J13" s="154"/>
    </row>
    <row r="14" spans="1:9" s="69" customFormat="1" ht="12.75">
      <c r="A14" s="457" t="s">
        <v>949</v>
      </c>
      <c r="B14" s="149">
        <v>0.3</v>
      </c>
      <c r="E14" s="149"/>
      <c r="F14" s="149"/>
      <c r="G14" s="149"/>
      <c r="H14" s="149"/>
      <c r="I14" s="149"/>
    </row>
    <row r="15" spans="1:9" s="69" customFormat="1" ht="12.75">
      <c r="A15" s="457" t="s">
        <v>951</v>
      </c>
      <c r="B15" s="149">
        <v>0.7</v>
      </c>
      <c r="I15" s="149"/>
    </row>
    <row r="16" spans="1:9" s="69" customFormat="1" ht="25.5">
      <c r="A16" s="27"/>
      <c r="B16" s="906" t="s">
        <v>292</v>
      </c>
      <c r="C16" s="890" t="s">
        <v>919</v>
      </c>
      <c r="D16" s="924"/>
      <c r="E16" s="149"/>
      <c r="F16" s="440" t="s">
        <v>932</v>
      </c>
      <c r="G16" s="440" t="s">
        <v>956</v>
      </c>
      <c r="H16" s="440" t="s">
        <v>347</v>
      </c>
      <c r="I16" s="440" t="s">
        <v>63</v>
      </c>
    </row>
    <row r="17" spans="1:9" s="69" customFormat="1" ht="12.75">
      <c r="A17" s="457" t="s">
        <v>342</v>
      </c>
      <c r="B17" s="149">
        <v>14.8</v>
      </c>
      <c r="E17" s="879" t="s">
        <v>904</v>
      </c>
      <c r="F17" s="153">
        <f>F3*B9*B10</f>
        <v>18450.73556112525</v>
      </c>
      <c r="G17" s="153">
        <f>F4*B14*B15</f>
        <v>4178.548935901895</v>
      </c>
      <c r="H17" s="152">
        <f>F9</f>
        <v>17183965.942158975</v>
      </c>
      <c r="I17" s="152">
        <f>SUM(F17:H17)</f>
        <v>17206595.226656</v>
      </c>
    </row>
    <row r="18" spans="1:9" s="69" customFormat="1" ht="12.75">
      <c r="A18" s="149" t="s">
        <v>343</v>
      </c>
      <c r="B18" s="149">
        <v>18.8</v>
      </c>
      <c r="E18" s="77" t="s">
        <v>903</v>
      </c>
      <c r="F18" s="152">
        <f>F17*B20</f>
        <v>273070.8863046537</v>
      </c>
      <c r="G18" s="152">
        <f>G17*B21</f>
        <v>78556.71999495562</v>
      </c>
      <c r="H18" s="152">
        <f>F10*B17+F11*B18</f>
        <v>288801694.02076614</v>
      </c>
      <c r="I18" s="152">
        <f>SUM(F18:H18)</f>
        <v>289153321.6270658</v>
      </c>
    </row>
    <row r="19" spans="1:9" s="69" customFormat="1" ht="12.75">
      <c r="A19" s="457" t="s">
        <v>955</v>
      </c>
      <c r="B19" s="893">
        <f>21*0.8</f>
        <v>16.8</v>
      </c>
      <c r="E19" s="77" t="s">
        <v>905</v>
      </c>
      <c r="F19" s="153">
        <f>F17*C20</f>
        <v>0</v>
      </c>
      <c r="G19" s="937">
        <f>G17*C21</f>
        <v>0</v>
      </c>
      <c r="H19" s="153">
        <f>F10*C17+F11*C18</f>
        <v>0</v>
      </c>
      <c r="I19" s="152">
        <f>SUM(F19:H19)</f>
        <v>0</v>
      </c>
    </row>
    <row r="20" spans="1:11" s="147" customFormat="1" ht="12.75">
      <c r="A20" s="149" t="s">
        <v>344</v>
      </c>
      <c r="B20" s="149">
        <v>14.8</v>
      </c>
      <c r="E20" s="77" t="s">
        <v>906</v>
      </c>
      <c r="F20" s="244">
        <f>(F19*453.592/17000000)/365</f>
        <v>0</v>
      </c>
      <c r="G20" s="244">
        <f>(G19*453.592/17000000)/365</f>
        <v>0</v>
      </c>
      <c r="H20" s="76">
        <f>SUM(F20:G20)</f>
        <v>0</v>
      </c>
      <c r="I20" s="152">
        <f>SUM(F20:H20)</f>
        <v>0</v>
      </c>
      <c r="K20" s="69"/>
    </row>
    <row r="21" spans="1:8" ht="12.75">
      <c r="A21" s="149" t="s">
        <v>345</v>
      </c>
      <c r="B21" s="149">
        <v>18.8</v>
      </c>
      <c r="E21" s="150"/>
      <c r="F21" s="120"/>
      <c r="G21" s="120"/>
      <c r="H21" s="120"/>
    </row>
    <row r="23" spans="8:12" ht="12.75">
      <c r="H23" s="14"/>
      <c r="L23" s="502"/>
    </row>
    <row r="25" ht="12.75">
      <c r="A25" s="14" t="s">
        <v>954</v>
      </c>
    </row>
    <row r="26" ht="12.75">
      <c r="B26" s="14" t="s">
        <v>778</v>
      </c>
    </row>
    <row r="27" spans="1:4" ht="12.75">
      <c r="A27" s="14" t="s">
        <v>809</v>
      </c>
      <c r="B27" s="14" t="s">
        <v>810</v>
      </c>
      <c r="C27" s="14" t="s">
        <v>811</v>
      </c>
      <c r="D27" s="14"/>
    </row>
    <row r="28" spans="1:4" ht="12.75">
      <c r="A28" s="69">
        <v>19</v>
      </c>
      <c r="B28" s="69">
        <v>3.1</v>
      </c>
      <c r="C28" s="69">
        <f>B28*A28</f>
        <v>58.9</v>
      </c>
      <c r="D28" s="69"/>
    </row>
    <row r="29" spans="1:4" ht="12.75">
      <c r="A29" s="69">
        <v>23</v>
      </c>
      <c r="B29" s="69">
        <v>3.1</v>
      </c>
      <c r="C29" s="69">
        <f>B29*A29</f>
        <v>71.3</v>
      </c>
      <c r="D29" s="69"/>
    </row>
    <row r="30" spans="1:4" ht="12.75">
      <c r="A30" s="69">
        <v>19</v>
      </c>
      <c r="B30" s="69"/>
      <c r="C30" s="69"/>
      <c r="D30" s="69"/>
    </row>
    <row r="31" spans="1:4" ht="12.75">
      <c r="A31" s="69">
        <v>23</v>
      </c>
      <c r="B31" s="69"/>
      <c r="C31" s="69"/>
      <c r="D31" s="69"/>
    </row>
    <row r="33" spans="1:5" ht="12.75">
      <c r="A33" s="35" t="s">
        <v>783</v>
      </c>
      <c r="B33" s="147"/>
      <c r="C33" s="69"/>
      <c r="D33" s="69"/>
      <c r="E33" s="147"/>
    </row>
    <row r="34" spans="1:5" ht="12.75">
      <c r="A34" s="35" t="s">
        <v>784</v>
      </c>
      <c r="B34" s="35" t="s">
        <v>785</v>
      </c>
      <c r="C34" s="35" t="s">
        <v>786</v>
      </c>
      <c r="D34" s="35"/>
      <c r="E34" s="69"/>
    </row>
    <row r="35" spans="1:5" ht="12.75">
      <c r="A35" s="499" t="s">
        <v>787</v>
      </c>
      <c r="B35" s="147">
        <v>0.6</v>
      </c>
      <c r="C35" s="500">
        <f>B35/14</f>
        <v>0.04285714285714286</v>
      </c>
      <c r="D35" s="500"/>
      <c r="E35" s="147"/>
    </row>
    <row r="36" spans="1:5" ht="12.75">
      <c r="A36" s="499" t="s">
        <v>788</v>
      </c>
      <c r="B36" s="147">
        <v>1.75</v>
      </c>
      <c r="C36" s="500">
        <f aca="true" t="shared" si="0" ref="C36:C48">B36/14</f>
        <v>0.125</v>
      </c>
      <c r="D36" s="500"/>
      <c r="E36" s="147"/>
    </row>
    <row r="37" spans="1:5" ht="12.75">
      <c r="A37" s="499" t="s">
        <v>789</v>
      </c>
      <c r="B37" s="147">
        <v>1.9</v>
      </c>
      <c r="C37" s="500">
        <f t="shared" si="0"/>
        <v>0.1357142857142857</v>
      </c>
      <c r="D37" s="500"/>
      <c r="E37" s="147"/>
    </row>
    <row r="38" spans="1:5" ht="12.75">
      <c r="A38" s="499" t="s">
        <v>790</v>
      </c>
      <c r="B38" s="147">
        <v>2.84</v>
      </c>
      <c r="C38" s="500">
        <f t="shared" si="0"/>
        <v>0.20285714285714285</v>
      </c>
      <c r="D38" s="500"/>
      <c r="E38" s="147"/>
    </row>
    <row r="39" spans="1:5" ht="12.75">
      <c r="A39" s="499" t="s">
        <v>791</v>
      </c>
      <c r="B39" s="147">
        <v>3.54</v>
      </c>
      <c r="C39" s="500">
        <f t="shared" si="0"/>
        <v>0.25285714285714284</v>
      </c>
      <c r="D39" s="500"/>
      <c r="E39" s="147"/>
    </row>
    <row r="40" spans="1:5" ht="12.75">
      <c r="A40" s="499" t="s">
        <v>792</v>
      </c>
      <c r="B40" s="147">
        <v>4.32</v>
      </c>
      <c r="C40" s="500">
        <f t="shared" si="0"/>
        <v>0.3085714285714286</v>
      </c>
      <c r="D40" s="500"/>
      <c r="E40" s="147"/>
    </row>
    <row r="41" spans="1:5" ht="12.75">
      <c r="A41" s="499" t="s">
        <v>793</v>
      </c>
      <c r="B41" s="147">
        <v>5.48</v>
      </c>
      <c r="C41" s="500">
        <f t="shared" si="0"/>
        <v>0.39142857142857146</v>
      </c>
      <c r="D41" s="500"/>
      <c r="E41" s="147"/>
    </row>
    <row r="42" spans="1:5" ht="12.75">
      <c r="A42" s="499" t="s">
        <v>794</v>
      </c>
      <c r="B42" s="147">
        <v>5.68</v>
      </c>
      <c r="C42" s="500">
        <f t="shared" si="0"/>
        <v>0.4057142857142857</v>
      </c>
      <c r="D42" s="500"/>
      <c r="E42" s="147"/>
    </row>
    <row r="43" spans="1:5" ht="12.75">
      <c r="A43" s="499" t="s">
        <v>795</v>
      </c>
      <c r="B43" s="147">
        <v>6.65</v>
      </c>
      <c r="C43" s="500">
        <f t="shared" si="0"/>
        <v>0.47500000000000003</v>
      </c>
      <c r="D43" s="500"/>
      <c r="E43" s="147"/>
    </row>
    <row r="44" spans="1:5" ht="12.75">
      <c r="A44" s="499" t="s">
        <v>796</v>
      </c>
      <c r="B44" s="147">
        <v>6.92</v>
      </c>
      <c r="C44" s="500">
        <f t="shared" si="0"/>
        <v>0.4942857142857143</v>
      </c>
      <c r="D44" s="500"/>
      <c r="E44" s="147"/>
    </row>
    <row r="45" spans="1:5" ht="12.75">
      <c r="A45" s="499" t="s">
        <v>797</v>
      </c>
      <c r="B45" s="147">
        <v>7.93</v>
      </c>
      <c r="C45" s="500">
        <f t="shared" si="0"/>
        <v>0.5664285714285714</v>
      </c>
      <c r="D45" s="500"/>
      <c r="E45" s="147"/>
    </row>
    <row r="46" spans="1:5" ht="12.75">
      <c r="A46" s="499" t="s">
        <v>798</v>
      </c>
      <c r="B46" s="147">
        <v>8.24</v>
      </c>
      <c r="C46" s="500">
        <f t="shared" si="0"/>
        <v>0.5885714285714286</v>
      </c>
      <c r="D46" s="500"/>
      <c r="E46" s="147"/>
    </row>
    <row r="47" spans="1:5" ht="12.75">
      <c r="A47" s="501" t="s">
        <v>799</v>
      </c>
      <c r="B47" s="120">
        <v>8.37</v>
      </c>
      <c r="C47" s="500">
        <f t="shared" si="0"/>
        <v>0.5978571428571428</v>
      </c>
      <c r="D47" s="500"/>
      <c r="E47" s="4"/>
    </row>
    <row r="48" spans="1:5" ht="12.75">
      <c r="A48" s="501" t="s">
        <v>800</v>
      </c>
      <c r="B48" s="120">
        <v>8.7</v>
      </c>
      <c r="C48" s="500">
        <f t="shared" si="0"/>
        <v>0.6214285714285713</v>
      </c>
      <c r="D48" s="500"/>
      <c r="E48" s="4">
        <f>C48*365</f>
        <v>226.82142857142853</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Q26"/>
  <sheetViews>
    <sheetView zoomScalePageLayoutView="0" workbookViewId="0" topLeftCell="A1">
      <pane xSplit="1" ySplit="6" topLeftCell="B9" activePane="bottomRight" state="frozen"/>
      <selection pane="topLeft" activeCell="A1" sqref="A1"/>
      <selection pane="topRight" activeCell="B1" sqref="B1"/>
      <selection pane="bottomLeft" activeCell="A7" sqref="A7"/>
      <selection pane="bottomRight" activeCell="D19" sqref="D19"/>
    </sheetView>
  </sheetViews>
  <sheetFormatPr defaultColWidth="8.8515625" defaultRowHeight="12.75"/>
  <cols>
    <col min="1" max="1" width="32.8515625" style="0" customWidth="1"/>
    <col min="2" max="3" width="8.8515625" style="0" customWidth="1"/>
    <col min="4" max="4" width="11.28125" style="0" customWidth="1"/>
    <col min="5" max="5" width="8.8515625" style="0" customWidth="1"/>
    <col min="6" max="6" width="13.140625" style="0" customWidth="1"/>
    <col min="7" max="8" width="8.8515625" style="0" customWidth="1"/>
    <col min="9" max="9" width="10.421875" style="0" customWidth="1"/>
    <col min="10" max="10" width="14.140625" style="0" customWidth="1"/>
    <col min="11" max="11" width="9.28125" style="0" customWidth="1"/>
    <col min="12" max="12" width="10.28125" style="0" bestFit="1" customWidth="1"/>
    <col min="13" max="13" width="8.8515625" style="0" customWidth="1"/>
    <col min="14" max="14" width="12.421875" style="0" customWidth="1"/>
    <col min="15" max="15" width="11.28125" style="0" bestFit="1" customWidth="1"/>
  </cols>
  <sheetData>
    <row r="1" spans="1:4" ht="15.75">
      <c r="A1" s="113" t="s">
        <v>374</v>
      </c>
      <c r="B1" s="113"/>
      <c r="C1" s="113"/>
      <c r="D1" s="113"/>
    </row>
    <row r="2" spans="1:4" ht="12.75">
      <c r="A2" s="14" t="s">
        <v>808</v>
      </c>
      <c r="B2" s="14"/>
      <c r="C2" s="14"/>
      <c r="D2" s="14"/>
    </row>
    <row r="3" spans="1:4" ht="12.75">
      <c r="A3" s="14"/>
      <c r="B3" s="14"/>
      <c r="C3" s="14"/>
      <c r="D3" s="14"/>
    </row>
    <row r="4" spans="1:4" ht="12.75">
      <c r="A4" s="8"/>
      <c r="B4" s="8"/>
      <c r="C4" s="8"/>
      <c r="D4" s="8"/>
    </row>
    <row r="5" spans="1:14" ht="34.5" customHeight="1">
      <c r="A5" s="14"/>
      <c r="B5" s="1310" t="s">
        <v>892</v>
      </c>
      <c r="C5" s="1310"/>
      <c r="D5" s="495" t="s">
        <v>803</v>
      </c>
      <c r="E5" s="1311" t="s">
        <v>920</v>
      </c>
      <c r="F5" s="1312"/>
      <c r="G5" s="1313"/>
      <c r="H5" s="264" t="s">
        <v>52</v>
      </c>
      <c r="I5" s="1311" t="s">
        <v>383</v>
      </c>
      <c r="J5" s="1313"/>
      <c r="K5" s="264" t="s">
        <v>119</v>
      </c>
      <c r="L5" s="1288" t="s">
        <v>386</v>
      </c>
      <c r="M5" s="1290"/>
      <c r="N5" s="655" t="s">
        <v>839</v>
      </c>
    </row>
    <row r="6" spans="2:16" s="30" customFormat="1" ht="12.75">
      <c r="B6" s="110" t="s">
        <v>249</v>
      </c>
      <c r="C6" s="110" t="s">
        <v>893</v>
      </c>
      <c r="D6" s="110" t="s">
        <v>41</v>
      </c>
      <c r="E6" s="273" t="s">
        <v>249</v>
      </c>
      <c r="F6" s="110" t="s">
        <v>893</v>
      </c>
      <c r="G6" s="110" t="s">
        <v>35</v>
      </c>
      <c r="H6" s="237" t="s">
        <v>41</v>
      </c>
      <c r="I6" s="110" t="s">
        <v>387</v>
      </c>
      <c r="J6" s="110" t="s">
        <v>35</v>
      </c>
      <c r="K6" s="160" t="s">
        <v>99</v>
      </c>
      <c r="L6" s="160" t="s">
        <v>120</v>
      </c>
      <c r="M6" s="65" t="s">
        <v>191</v>
      </c>
      <c r="N6" s="110" t="s">
        <v>894</v>
      </c>
      <c r="P6" s="34" t="s">
        <v>1095</v>
      </c>
    </row>
    <row r="7" spans="1:16" ht="12.75">
      <c r="A7" s="833" t="s">
        <v>381</v>
      </c>
      <c r="B7" s="834">
        <f>ProteinCurrent!AD21</f>
        <v>0.08581176641181114</v>
      </c>
      <c r="C7" s="835">
        <f>ProteinCurrent!T21</f>
        <v>0.04290588320590557</v>
      </c>
      <c r="D7" s="836">
        <f>B7/$B$13</f>
        <v>0.3511573033530543</v>
      </c>
      <c r="E7" s="837">
        <f>$E$13*D7</f>
        <v>0.12290505617356899</v>
      </c>
      <c r="F7" s="129">
        <f aca="true" t="shared" si="0" ref="F7:F14">E7/2</f>
        <v>0.061452528086784496</v>
      </c>
      <c r="G7" s="205">
        <f>(F7*365)/16</f>
        <v>1.4018857969797713</v>
      </c>
      <c r="H7" s="207">
        <f>ProteinCurrent!P21</f>
        <v>0.2588852</v>
      </c>
      <c r="I7" s="195">
        <f>G7/(1-H7)</f>
        <v>1.8915906104962028</v>
      </c>
      <c r="J7" s="107">
        <f aca="true" t="shared" si="1" ref="J7:J14">I7*17000000</f>
        <v>32157040.378435448</v>
      </c>
      <c r="K7" s="509">
        <f>NutY!J6</f>
        <v>2352.5</v>
      </c>
      <c r="L7" s="26">
        <f>J7/K7</f>
        <v>13669.30515555173</v>
      </c>
      <c r="M7" s="15">
        <f>L7/1000</f>
        <v>13.669305155551731</v>
      </c>
      <c r="N7" s="286">
        <f>E7/B7</f>
        <v>1.4322634448957379</v>
      </c>
      <c r="O7" s="4"/>
      <c r="P7" s="995" t="s">
        <v>1059</v>
      </c>
    </row>
    <row r="8" spans="1:16" ht="12.75">
      <c r="A8" s="838" t="s">
        <v>382</v>
      </c>
      <c r="B8" s="839">
        <f>ProteinCurrent!AD23</f>
        <v>0.033892666659884996</v>
      </c>
      <c r="C8" s="835">
        <f>ProteinCurrent!T23</f>
        <v>0.016946333329942498</v>
      </c>
      <c r="D8" s="840">
        <f>B8/$B$13</f>
        <v>0.1386949357342566</v>
      </c>
      <c r="E8" s="841">
        <f>$E$13*D8</f>
        <v>0.048543227506989806</v>
      </c>
      <c r="F8" s="129">
        <f>E8/2</f>
        <v>0.024271613753494903</v>
      </c>
      <c r="G8" s="205">
        <f>(F8*365)/16</f>
        <v>0.5536961887516024</v>
      </c>
      <c r="H8" s="207">
        <f>ProteinCurrent!P23</f>
        <v>0.2307416</v>
      </c>
      <c r="I8" s="195">
        <f>G8/(1-H8)</f>
        <v>0.7197791909085457</v>
      </c>
      <c r="J8" s="107">
        <f>I8*17000000</f>
        <v>12236246.245445278</v>
      </c>
      <c r="K8" s="510">
        <f>NutY!J7</f>
        <v>1572</v>
      </c>
      <c r="L8" s="15">
        <f>J8/K8</f>
        <v>7783.871657407937</v>
      </c>
      <c r="M8" s="15">
        <f>L8/1000</f>
        <v>7.783871657407937</v>
      </c>
      <c r="N8" s="287">
        <f aca="true" t="shared" si="2" ref="N8:N15">E8/B8</f>
        <v>1.4322634448957379</v>
      </c>
      <c r="O8" s="275"/>
      <c r="P8" s="995" t="s">
        <v>1059</v>
      </c>
    </row>
    <row r="9" spans="1:16" ht="12.75">
      <c r="A9" s="838" t="s">
        <v>384</v>
      </c>
      <c r="B9" s="839">
        <f>ProteinCurrent!AD22</f>
        <v>0.032806575383280315</v>
      </c>
      <c r="C9" s="835">
        <f>ProteinCurrent!T22</f>
        <v>0.016403287691640157</v>
      </c>
      <c r="D9" s="840">
        <f>B9/$B$13</f>
        <v>0.1342504533533965</v>
      </c>
      <c r="E9" s="841">
        <f>$E$13*D9</f>
        <v>0.04698765867368877</v>
      </c>
      <c r="F9" s="129">
        <f t="shared" si="0"/>
        <v>0.023493829336844387</v>
      </c>
      <c r="G9" s="205">
        <f>(F9*365)/16</f>
        <v>0.5359529817467625</v>
      </c>
      <c r="H9" s="207">
        <f>ProteinCurrent!P22</f>
        <v>0.19321680000000002</v>
      </c>
      <c r="I9" s="195">
        <f>G9/(1-H9)</f>
        <v>0.6643085549460656</v>
      </c>
      <c r="J9" s="107">
        <f t="shared" si="1"/>
        <v>11293245.434083115</v>
      </c>
      <c r="K9" s="107">
        <f>NutY!J8</f>
        <v>700</v>
      </c>
      <c r="L9" s="26">
        <f>J9/K9</f>
        <v>16133.207762975879</v>
      </c>
      <c r="M9" s="26">
        <f>L9/1000</f>
        <v>16.13320776297588</v>
      </c>
      <c r="N9" s="287">
        <f t="shared" si="2"/>
        <v>1.4322634448957379</v>
      </c>
      <c r="O9" s="4"/>
      <c r="P9" s="995" t="s">
        <v>1061</v>
      </c>
    </row>
    <row r="10" spans="1:16" s="4" customFormat="1" ht="12.75">
      <c r="A10" s="838" t="s">
        <v>801</v>
      </c>
      <c r="B10" s="839">
        <v>0.00354549522405633</v>
      </c>
      <c r="C10" s="835">
        <v>0.00177274761202817</v>
      </c>
      <c r="D10" s="842">
        <f>B10/$B$13</f>
        <v>0.014508809152766587</v>
      </c>
      <c r="E10" s="129">
        <f>D10*E13+(D12/2)*E13</f>
        <v>0.06832107042461039</v>
      </c>
      <c r="F10" s="129">
        <f>E10/2</f>
        <v>0.03416053521230519</v>
      </c>
      <c r="G10" s="205">
        <f>(F10*365)/16</f>
        <v>0.7792872095307122</v>
      </c>
      <c r="H10" s="207">
        <v>0.249504</v>
      </c>
      <c r="I10" s="503">
        <f>G10/(1-H10)</f>
        <v>1.0383629087039932</v>
      </c>
      <c r="J10" s="26">
        <f>I10*17000000</f>
        <v>17652169.447967883</v>
      </c>
      <c r="K10" s="508">
        <f>NutY!J9</f>
        <v>1032</v>
      </c>
      <c r="L10" s="26">
        <f>J10/K10</f>
        <v>17104.815356558025</v>
      </c>
      <c r="M10" s="26">
        <f>L10/1000</f>
        <v>17.104815356558024</v>
      </c>
      <c r="N10" s="287">
        <f>E10/B10</f>
        <v>19.269824412975975</v>
      </c>
      <c r="P10" s="995" t="s">
        <v>1059</v>
      </c>
    </row>
    <row r="11" spans="1:17" ht="12.75">
      <c r="A11" s="838" t="s">
        <v>802</v>
      </c>
      <c r="B11" s="843" t="s">
        <v>76</v>
      </c>
      <c r="C11" s="844" t="s">
        <v>76</v>
      </c>
      <c r="D11" s="845" t="s">
        <v>76</v>
      </c>
      <c r="E11" s="129">
        <f>(D12/2)*E13</f>
        <v>0.06324298722114208</v>
      </c>
      <c r="F11" s="129">
        <f t="shared" si="0"/>
        <v>0.03162149361057104</v>
      </c>
      <c r="G11" s="205">
        <f>(F11*365)/16</f>
        <v>0.7213653229911519</v>
      </c>
      <c r="H11" s="846">
        <v>0.26</v>
      </c>
      <c r="I11" s="195">
        <f>G11/(1-H11)</f>
        <v>0.9748180040420971</v>
      </c>
      <c r="J11" s="107">
        <f t="shared" si="1"/>
        <v>16571906.06871565</v>
      </c>
      <c r="K11" s="418">
        <f>NutY!J10</f>
        <v>1851.8808</v>
      </c>
      <c r="L11" s="15">
        <f>J11/K11</f>
        <v>8948.689391193888</v>
      </c>
      <c r="M11" s="15">
        <f>L11/1000</f>
        <v>8.948689391193888</v>
      </c>
      <c r="N11" s="843" t="s">
        <v>76</v>
      </c>
      <c r="O11" s="4"/>
      <c r="P11" s="995" t="s">
        <v>1062</v>
      </c>
      <c r="Q11" s="14"/>
    </row>
    <row r="12" spans="1:17" ht="12.75">
      <c r="A12" s="838" t="s">
        <v>895</v>
      </c>
      <c r="B12" s="847">
        <f>ProteinCurrent!AD27+ProteinCurrent!AD26+ProteinCurrent!AD25</f>
        <v>0.08831194770281367</v>
      </c>
      <c r="C12" s="225">
        <f>B12/2</f>
        <v>0.044155973851406835</v>
      </c>
      <c r="D12" s="842">
        <f>B12/$B$13</f>
        <v>0.36138849840652615</v>
      </c>
      <c r="E12" s="130"/>
      <c r="F12" s="129"/>
      <c r="G12" s="205"/>
      <c r="H12" s="846"/>
      <c r="I12" s="195"/>
      <c r="J12" s="107"/>
      <c r="K12" s="107"/>
      <c r="L12" s="15"/>
      <c r="M12" s="15"/>
      <c r="N12" s="287">
        <f t="shared" si="2"/>
        <v>0</v>
      </c>
      <c r="O12" s="4"/>
      <c r="P12" s="995"/>
      <c r="Q12" s="14"/>
    </row>
    <row r="13" spans="1:15" ht="12.75">
      <c r="A13" s="848" t="s">
        <v>116</v>
      </c>
      <c r="B13" s="849">
        <f>ProteinCurrent!AD28</f>
        <v>0.24436845138184643</v>
      </c>
      <c r="C13" s="850">
        <f>ProteinCurrent!T28</f>
        <v>0.12218422569092321</v>
      </c>
      <c r="D13" s="851"/>
      <c r="E13" s="506">
        <f>Protein!D25</f>
        <v>0.35</v>
      </c>
      <c r="F13" s="852">
        <f t="shared" si="0"/>
        <v>0.175</v>
      </c>
      <c r="G13" s="507">
        <f>SUM(G7:G12)</f>
        <v>3.9921875</v>
      </c>
      <c r="H13" s="206">
        <f>1-(G13/I13)</f>
        <v>0.24517040501974208</v>
      </c>
      <c r="I13" s="853">
        <f>SUM(I7:I12)</f>
        <v>5.288859269096905</v>
      </c>
      <c r="J13" s="209">
        <f t="shared" si="1"/>
        <v>89910607.57464738</v>
      </c>
      <c r="K13" s="209">
        <f>J13/L13</f>
        <v>1412.8027017353984</v>
      </c>
      <c r="L13" s="173">
        <f>SUM(L7:L11)</f>
        <v>63639.889323687465</v>
      </c>
      <c r="M13" s="64">
        <f>L13/1000</f>
        <v>63.63988932368746</v>
      </c>
      <c r="N13" s="494">
        <f t="shared" si="2"/>
        <v>1.4322634448957379</v>
      </c>
      <c r="O13" s="4"/>
    </row>
    <row r="14" spans="1:16" ht="13.5" thickBot="1">
      <c r="A14" s="854" t="s">
        <v>61</v>
      </c>
      <c r="B14" s="855">
        <f>ProteinCurrent!AD29</f>
        <v>0.5164856467439891</v>
      </c>
      <c r="C14" s="856">
        <f>ProteinCurrent!T29</f>
        <v>0.25824282337199456</v>
      </c>
      <c r="D14" s="857"/>
      <c r="E14" s="858">
        <f>Protein!D24</f>
        <v>0.52</v>
      </c>
      <c r="F14" s="859">
        <f t="shared" si="0"/>
        <v>0.26</v>
      </c>
      <c r="G14" s="860">
        <f>(F14*365)/16</f>
        <v>5.93125</v>
      </c>
      <c r="H14" s="861">
        <v>0.15</v>
      </c>
      <c r="I14" s="862">
        <f>G14/(1-H14)</f>
        <v>6.977941176470589</v>
      </c>
      <c r="J14" s="863">
        <f t="shared" si="1"/>
        <v>118625000.00000001</v>
      </c>
      <c r="K14" s="863">
        <f>NutY!J11</f>
        <v>2664.2250000000004</v>
      </c>
      <c r="L14" s="864">
        <f>J14/K14</f>
        <v>44525.14333436553</v>
      </c>
      <c r="M14" s="865">
        <f>L14/1000</f>
        <v>44.52514333436553</v>
      </c>
      <c r="N14" s="866">
        <f t="shared" si="2"/>
        <v>1.0068043580265318</v>
      </c>
      <c r="P14" s="19" t="s">
        <v>1050</v>
      </c>
    </row>
    <row r="15" spans="1:15" ht="12.75">
      <c r="A15" s="867" t="s">
        <v>388</v>
      </c>
      <c r="B15" s="868">
        <f>B14+B13</f>
        <v>0.7608540981258356</v>
      </c>
      <c r="C15" s="869">
        <f>C14+C13</f>
        <v>0.3804270490629178</v>
      </c>
      <c r="D15" s="870"/>
      <c r="E15" s="287">
        <f>E13+E14</f>
        <v>0.87</v>
      </c>
      <c r="F15" s="208">
        <f>F13+F14</f>
        <v>0.435</v>
      </c>
      <c r="G15" s="208">
        <f>G13+G14</f>
        <v>9.9234375</v>
      </c>
      <c r="H15" s="161"/>
      <c r="I15" s="208">
        <f>I13+I14</f>
        <v>12.266800445567494</v>
      </c>
      <c r="J15" s="15">
        <f>J13+J14</f>
        <v>208535607.5746474</v>
      </c>
      <c r="K15" s="15"/>
      <c r="L15" s="118">
        <f>L13+L14</f>
        <v>108165.032658053</v>
      </c>
      <c r="M15" s="26">
        <f>L15/1000</f>
        <v>108.165032658053</v>
      </c>
      <c r="N15" s="287">
        <f t="shared" si="2"/>
        <v>1.1434518157200135</v>
      </c>
      <c r="O15" s="4"/>
    </row>
    <row r="18" spans="1:17" ht="12.75">
      <c r="A18" s="8" t="s">
        <v>390</v>
      </c>
      <c r="B18" s="8"/>
      <c r="C18" s="8"/>
      <c r="D18" s="8"/>
      <c r="G18" s="4"/>
      <c r="H18" s="4"/>
      <c r="I18" s="4"/>
      <c r="J18" s="4"/>
      <c r="K18" s="4"/>
      <c r="L18" s="1015"/>
      <c r="M18" s="1016"/>
      <c r="N18" s="1016"/>
      <c r="O18" s="1016"/>
      <c r="P18" s="1016"/>
      <c r="Q18" s="1016"/>
    </row>
    <row r="19" spans="1:17" ht="12.75">
      <c r="A19" s="4"/>
      <c r="B19" s="75" t="s">
        <v>250</v>
      </c>
      <c r="C19" s="75" t="s">
        <v>893</v>
      </c>
      <c r="D19" s="75" t="s">
        <v>391</v>
      </c>
      <c r="E19" s="75" t="s">
        <v>896</v>
      </c>
      <c r="F19" s="19"/>
      <c r="G19" s="4"/>
      <c r="H19" s="4"/>
      <c r="I19" s="4"/>
      <c r="J19" s="4"/>
      <c r="K19" s="4"/>
      <c r="L19" s="4"/>
      <c r="M19" s="4"/>
      <c r="N19" s="4"/>
      <c r="O19" s="4"/>
      <c r="P19" s="1017"/>
      <c r="Q19" s="4"/>
    </row>
    <row r="20" spans="1:17" ht="12.75">
      <c r="A20" s="14" t="s">
        <v>381</v>
      </c>
      <c r="B20" s="208">
        <f>E7</f>
        <v>0.12290505617356899</v>
      </c>
      <c r="C20" s="208">
        <f>(B20/2)</f>
        <v>0.061452528086784496</v>
      </c>
      <c r="D20">
        <v>14.01</v>
      </c>
      <c r="E20" s="46">
        <f aca="true" t="shared" si="3" ref="E20:E25">C20*D20</f>
        <v>0.8609499184958508</v>
      </c>
      <c r="F20" s="67"/>
      <c r="G20" s="4"/>
      <c r="H20" s="4"/>
      <c r="I20" s="4"/>
      <c r="J20" s="4"/>
      <c r="K20" s="4"/>
      <c r="L20" s="4"/>
      <c r="M20" s="4"/>
      <c r="N20" s="4"/>
      <c r="O20" s="4"/>
      <c r="P20" s="4"/>
      <c r="Q20" s="4"/>
    </row>
    <row r="21" spans="1:17" ht="12.75">
      <c r="A21" s="14" t="s">
        <v>382</v>
      </c>
      <c r="B21" s="24">
        <f>E8</f>
        <v>0.048543227506989806</v>
      </c>
      <c r="C21" s="208">
        <f>(B21/2)</f>
        <v>0.024271613753494903</v>
      </c>
      <c r="D21">
        <v>18.49</v>
      </c>
      <c r="E21" s="46">
        <f t="shared" si="3"/>
        <v>0.4487821383021207</v>
      </c>
      <c r="F21" s="67"/>
      <c r="G21" s="4"/>
      <c r="H21" s="4"/>
      <c r="I21" s="4"/>
      <c r="J21" s="4"/>
      <c r="K21" s="4"/>
      <c r="L21" s="4"/>
      <c r="M21" s="4"/>
      <c r="N21" s="4"/>
      <c r="O21" s="4"/>
      <c r="P21" s="4"/>
      <c r="Q21" s="4"/>
    </row>
    <row r="22" spans="1:17" ht="12.75">
      <c r="A22" s="14" t="s">
        <v>384</v>
      </c>
      <c r="B22" s="24">
        <f>E9</f>
        <v>0.04698765867368877</v>
      </c>
      <c r="C22" s="208">
        <f>(B22/2)</f>
        <v>0.023493829336844387</v>
      </c>
      <c r="D22">
        <v>20.4</v>
      </c>
      <c r="E22" s="46">
        <f t="shared" si="3"/>
        <v>0.47927411847162543</v>
      </c>
      <c r="F22" s="67"/>
      <c r="G22" s="4"/>
      <c r="H22" s="4"/>
      <c r="I22" s="4"/>
      <c r="J22" s="4"/>
      <c r="K22" s="4"/>
      <c r="L22" s="4"/>
      <c r="M22" s="4"/>
      <c r="N22" s="4"/>
      <c r="O22" s="4"/>
      <c r="P22" s="4"/>
      <c r="Q22" s="4"/>
    </row>
    <row r="23" spans="1:17" ht="12.75">
      <c r="A23" s="14" t="s">
        <v>801</v>
      </c>
      <c r="B23" s="24">
        <f>E10</f>
        <v>0.06832107042461039</v>
      </c>
      <c r="C23" s="208">
        <f>B23/2</f>
        <v>0.03416053521230519</v>
      </c>
      <c r="D23">
        <v>17.22</v>
      </c>
      <c r="E23" s="46">
        <f t="shared" si="3"/>
        <v>0.5882444163558954</v>
      </c>
      <c r="F23" s="67"/>
      <c r="G23" s="4"/>
      <c r="H23" s="4"/>
      <c r="I23" s="4"/>
      <c r="J23" s="4"/>
      <c r="K23" s="4"/>
      <c r="L23" s="4"/>
      <c r="M23" s="4"/>
      <c r="N23" s="4"/>
      <c r="O23" s="4"/>
      <c r="P23" s="4"/>
      <c r="Q23" s="4"/>
    </row>
    <row r="24" spans="1:17" ht="12.75">
      <c r="A24" s="14" t="s">
        <v>802</v>
      </c>
      <c r="B24" s="24">
        <f>E11</f>
        <v>0.06324298722114208</v>
      </c>
      <c r="C24" s="208">
        <f>B24/2</f>
        <v>0.03162149361057104</v>
      </c>
      <c r="D24" s="208">
        <f>3.15/5.044</f>
        <v>0.6245043616177637</v>
      </c>
      <c r="E24" s="46">
        <f t="shared" si="3"/>
        <v>0.01974776068066986</v>
      </c>
      <c r="F24" s="743"/>
      <c r="G24" s="4"/>
      <c r="H24" s="4"/>
      <c r="I24" s="4"/>
      <c r="J24" s="4"/>
      <c r="K24" s="4"/>
      <c r="L24" s="4"/>
      <c r="M24" s="4"/>
      <c r="N24" s="4"/>
      <c r="O24" s="4"/>
      <c r="P24" s="4"/>
      <c r="Q24" s="4"/>
    </row>
    <row r="25" spans="1:17" ht="12.75">
      <c r="A25" s="14" t="s">
        <v>389</v>
      </c>
      <c r="B25" s="24">
        <f>E14</f>
        <v>0.52</v>
      </c>
      <c r="C25" s="208">
        <f>(B25/2)</f>
        <v>0.26</v>
      </c>
      <c r="D25">
        <v>14.08</v>
      </c>
      <c r="E25" s="46">
        <f t="shared" si="3"/>
        <v>3.6608</v>
      </c>
      <c r="F25" s="67"/>
      <c r="G25" s="4"/>
      <c r="H25" s="4"/>
      <c r="I25" s="4"/>
      <c r="J25" s="4"/>
      <c r="K25" s="4"/>
      <c r="L25" s="4"/>
      <c r="M25" s="4"/>
      <c r="N25" s="4"/>
      <c r="O25" s="4"/>
      <c r="P25" s="4"/>
      <c r="Q25" s="4"/>
    </row>
    <row r="26" spans="5:8" ht="12.75">
      <c r="E26" s="176">
        <f>SUM(E20:E25)</f>
        <v>6.057798352306162</v>
      </c>
      <c r="F26" s="67"/>
      <c r="H26" s="46"/>
    </row>
  </sheetData>
  <sheetProtection/>
  <mergeCells count="4">
    <mergeCell ref="B5:C5"/>
    <mergeCell ref="E5:G5"/>
    <mergeCell ref="I5:J5"/>
    <mergeCell ref="L5:M5"/>
  </mergeCells>
  <printOptions/>
  <pageMargins left="0.7" right="0.7" top="0.75" bottom="0.75" header="0.3" footer="0.3"/>
  <pageSetup orientation="portrait" paperSize="9"/>
  <legacyDrawing r:id="rId2"/>
</worksheet>
</file>

<file path=xl/worksheets/sheet24.xml><?xml version="1.0" encoding="utf-8"?>
<worksheet xmlns="http://schemas.openxmlformats.org/spreadsheetml/2006/main" xmlns:r="http://schemas.openxmlformats.org/officeDocument/2006/relationships">
  <dimension ref="A1:L18"/>
  <sheetViews>
    <sheetView zoomScalePageLayoutView="0" workbookViewId="0" topLeftCell="A1">
      <selection activeCell="H11" sqref="H11"/>
    </sheetView>
  </sheetViews>
  <sheetFormatPr defaultColWidth="11.421875" defaultRowHeight="12.75"/>
  <cols>
    <col min="1" max="1" width="11.421875" style="995" customWidth="1"/>
    <col min="2" max="2" width="19.140625" style="995" customWidth="1"/>
    <col min="3" max="3" width="6.8515625" style="995" customWidth="1"/>
    <col min="4" max="7" width="6.7109375" style="995" bestFit="1" customWidth="1"/>
    <col min="8" max="8" width="11.421875" style="995" customWidth="1"/>
    <col min="9" max="9" width="13.00390625" style="995" customWidth="1"/>
    <col min="10" max="11" width="13.7109375" style="995" customWidth="1"/>
    <col min="12" max="16384" width="11.421875" style="995" customWidth="1"/>
  </cols>
  <sheetData>
    <row r="1" ht="15.75">
      <c r="A1" s="197" t="s">
        <v>1051</v>
      </c>
    </row>
    <row r="2" ht="12.75"/>
    <row r="3" spans="3:10" ht="12.75">
      <c r="C3" s="1314" t="s">
        <v>119</v>
      </c>
      <c r="D3" s="1314"/>
      <c r="E3" s="1314"/>
      <c r="F3" s="1314"/>
      <c r="G3" s="1314"/>
      <c r="H3" s="1314"/>
      <c r="I3" s="1028"/>
      <c r="J3" s="1028"/>
    </row>
    <row r="4" spans="3:10" ht="12.75">
      <c r="C4" s="1028">
        <v>2008</v>
      </c>
      <c r="D4" s="1033">
        <v>2009</v>
      </c>
      <c r="E4" s="1033">
        <v>2010</v>
      </c>
      <c r="F4" s="1033">
        <v>2011</v>
      </c>
      <c r="G4" s="1033">
        <v>2012</v>
      </c>
      <c r="H4" s="1033" t="s">
        <v>1060</v>
      </c>
      <c r="I4" s="1028" t="s">
        <v>1055</v>
      </c>
      <c r="J4" s="1028" t="s">
        <v>1057</v>
      </c>
    </row>
    <row r="5" spans="3:12" ht="12.75">
      <c r="C5" s="1032" t="s">
        <v>99</v>
      </c>
      <c r="D5" s="1029" t="s">
        <v>99</v>
      </c>
      <c r="E5" s="1029" t="s">
        <v>99</v>
      </c>
      <c r="F5" s="1029" t="s">
        <v>99</v>
      </c>
      <c r="G5" s="1029" t="s">
        <v>99</v>
      </c>
      <c r="H5" s="1029" t="s">
        <v>99</v>
      </c>
      <c r="I5" s="1029" t="s">
        <v>99</v>
      </c>
      <c r="J5" s="1029" t="s">
        <v>99</v>
      </c>
      <c r="L5" s="995" t="s">
        <v>1137</v>
      </c>
    </row>
    <row r="6" spans="1:12" ht="12.75">
      <c r="A6" s="1001" t="s">
        <v>620</v>
      </c>
      <c r="B6" s="1001" t="s">
        <v>1052</v>
      </c>
      <c r="C6" s="1043" t="s">
        <v>76</v>
      </c>
      <c r="D6" s="1021">
        <v>1960</v>
      </c>
      <c r="E6" s="1021">
        <v>2220</v>
      </c>
      <c r="F6" s="1021">
        <v>2670</v>
      </c>
      <c r="G6" s="1021">
        <v>2560</v>
      </c>
      <c r="H6" s="1002">
        <f>AVERAGE(D6:G6)</f>
        <v>2352.5</v>
      </c>
      <c r="I6" s="1024" t="s">
        <v>1056</v>
      </c>
      <c r="J6" s="1002">
        <f>H6</f>
        <v>2352.5</v>
      </c>
      <c r="K6" s="1020"/>
      <c r="L6" s="995" t="s">
        <v>1059</v>
      </c>
    </row>
    <row r="7" spans="1:12" ht="12.75">
      <c r="A7" s="995" t="s">
        <v>623</v>
      </c>
      <c r="B7" s="995" t="s">
        <v>1053</v>
      </c>
      <c r="C7" s="1043" t="s">
        <v>76</v>
      </c>
      <c r="D7" s="998">
        <f>2000*1.93</f>
        <v>3860</v>
      </c>
      <c r="E7" s="998">
        <f>2000*2.13</f>
        <v>4260</v>
      </c>
      <c r="F7" s="998">
        <f>2000*1.88</f>
        <v>3760</v>
      </c>
      <c r="G7" s="998">
        <f>2000*1.92</f>
        <v>3840</v>
      </c>
      <c r="H7" s="1000">
        <f>AVERAGE(D7:G7)</f>
        <v>3930</v>
      </c>
      <c r="I7" s="999">
        <v>0.4</v>
      </c>
      <c r="J7" s="1000">
        <f>I7*H7</f>
        <v>1572</v>
      </c>
      <c r="K7" s="1000"/>
      <c r="L7" s="995" t="s">
        <v>1059</v>
      </c>
    </row>
    <row r="8" spans="1:12" ht="12.75">
      <c r="A8" s="995" t="s">
        <v>622</v>
      </c>
      <c r="B8" s="995" t="s">
        <v>1053</v>
      </c>
      <c r="C8" s="1043"/>
      <c r="D8" s="998"/>
      <c r="E8" s="998"/>
      <c r="F8" s="998"/>
      <c r="G8" s="998"/>
      <c r="H8" s="1000">
        <v>1400</v>
      </c>
      <c r="I8" s="999">
        <v>0.5</v>
      </c>
      <c r="J8" s="1000">
        <f>I8*H8</f>
        <v>700</v>
      </c>
      <c r="K8" s="1000"/>
      <c r="L8" s="995" t="s">
        <v>1061</v>
      </c>
    </row>
    <row r="9" spans="1:12" ht="12.75">
      <c r="A9" s="995" t="s">
        <v>621</v>
      </c>
      <c r="B9" s="995" t="s">
        <v>1053</v>
      </c>
      <c r="C9" s="1043" t="s">
        <v>76</v>
      </c>
      <c r="D9" s="998">
        <f>2000*1.64</f>
        <v>3280</v>
      </c>
      <c r="E9" s="998">
        <f>2000*0.97</f>
        <v>1940</v>
      </c>
      <c r="F9" s="998">
        <f>2000*1.35</f>
        <v>2700</v>
      </c>
      <c r="G9" s="998">
        <f>2000*1.2</f>
        <v>2400</v>
      </c>
      <c r="H9" s="1000">
        <f>AVERAGE(D9:G9)</f>
        <v>2580</v>
      </c>
      <c r="I9" s="999">
        <v>0.4</v>
      </c>
      <c r="J9" s="1000">
        <f>I9*H9</f>
        <v>1032</v>
      </c>
      <c r="K9" s="1000"/>
      <c r="L9" s="995" t="s">
        <v>1059</v>
      </c>
    </row>
    <row r="10" spans="1:12" ht="12.75">
      <c r="A10" s="995" t="s">
        <v>993</v>
      </c>
      <c r="B10" s="995" t="s">
        <v>1054</v>
      </c>
      <c r="C10" s="1044"/>
      <c r="D10" s="998"/>
      <c r="E10" s="998"/>
      <c r="F10" s="998"/>
      <c r="G10" s="998"/>
      <c r="H10" s="1007">
        <f>2204.62</f>
        <v>2204.62</v>
      </c>
      <c r="I10" s="999">
        <v>0.84</v>
      </c>
      <c r="J10" s="1000">
        <f>I10*H10</f>
        <v>1851.8808</v>
      </c>
      <c r="K10" s="1000"/>
      <c r="L10" s="995" t="s">
        <v>1062</v>
      </c>
    </row>
    <row r="11" spans="1:12" ht="12.75">
      <c r="A11" s="995" t="s">
        <v>61</v>
      </c>
      <c r="B11" s="995" t="s">
        <v>1054</v>
      </c>
      <c r="C11" s="155">
        <v>3426</v>
      </c>
      <c r="D11" s="998">
        <v>3421</v>
      </c>
      <c r="E11" s="998">
        <v>3312</v>
      </c>
      <c r="F11" s="998">
        <v>3386</v>
      </c>
      <c r="G11" s="998">
        <v>4216.5</v>
      </c>
      <c r="H11" s="1000">
        <f>AVERAGE(C11:G11)</f>
        <v>3552.3</v>
      </c>
      <c r="I11" s="999">
        <v>0.75</v>
      </c>
      <c r="J11" s="998">
        <f>I11*H11</f>
        <v>2664.2250000000004</v>
      </c>
      <c r="K11" s="998"/>
      <c r="L11" s="995" t="s">
        <v>1059</v>
      </c>
    </row>
    <row r="12" spans="4:7" ht="12.75">
      <c r="D12" s="998"/>
      <c r="E12" s="998"/>
      <c r="F12" s="998"/>
      <c r="G12" s="998"/>
    </row>
    <row r="13" spans="4:12" ht="12.75">
      <c r="D13" s="998"/>
      <c r="E13" s="998"/>
      <c r="F13" s="998"/>
      <c r="G13" s="998"/>
      <c r="L13" s="995" t="s">
        <v>1138</v>
      </c>
    </row>
    <row r="14" spans="4:12" ht="12.75">
      <c r="D14" s="998"/>
      <c r="E14" s="998"/>
      <c r="F14" s="998"/>
      <c r="G14" s="998"/>
      <c r="L14" s="995" t="s">
        <v>1139</v>
      </c>
    </row>
    <row r="15" spans="4:7" ht="12.75">
      <c r="D15" s="998"/>
      <c r="E15" s="998"/>
      <c r="F15" s="998"/>
      <c r="G15" s="998"/>
    </row>
    <row r="16" spans="4:7" s="1018" customFormat="1" ht="12.75">
      <c r="D16" s="1019"/>
      <c r="E16" s="1019"/>
      <c r="F16" s="1019"/>
      <c r="G16" s="1019"/>
    </row>
    <row r="17" spans="4:7" s="1018" customFormat="1" ht="12.75">
      <c r="D17" s="1022"/>
      <c r="E17" s="1022"/>
      <c r="F17" s="1019"/>
      <c r="G17" s="1019"/>
    </row>
    <row r="18" spans="2:5" s="1018" customFormat="1" ht="12.75">
      <c r="B18" s="1019"/>
      <c r="C18" s="1019"/>
      <c r="D18" s="1023"/>
      <c r="E18" s="1019"/>
    </row>
    <row r="19" s="1018" customFormat="1" ht="12.75"/>
  </sheetData>
  <sheetProtection/>
  <mergeCells count="1">
    <mergeCell ref="C3:H3"/>
  </mergeCells>
  <printOptions/>
  <pageMargins left="0.7" right="0.7" top="0.75" bottom="0.75" header="0.3" footer="0.3"/>
  <pageSetup orientation="portrait" paperSize="9"/>
  <legacyDrawing r:id="rId2"/>
</worksheet>
</file>

<file path=xl/worksheets/sheet25.xml><?xml version="1.0" encoding="utf-8"?>
<worksheet xmlns="http://schemas.openxmlformats.org/spreadsheetml/2006/main" xmlns:r="http://schemas.openxmlformats.org/officeDocument/2006/relationships">
  <dimension ref="A1:P33"/>
  <sheetViews>
    <sheetView zoomScalePageLayoutView="0" workbookViewId="0" topLeftCell="A1">
      <selection activeCell="A34" sqref="A34:IV38"/>
    </sheetView>
  </sheetViews>
  <sheetFormatPr defaultColWidth="8.8515625" defaultRowHeight="12.75"/>
  <cols>
    <col min="1" max="1" width="11.421875" style="0" customWidth="1"/>
    <col min="2" max="2" width="8.8515625" style="0" customWidth="1"/>
    <col min="3" max="3" width="11.28125" style="0" bestFit="1" customWidth="1"/>
    <col min="4" max="4" width="8.8515625" style="0" customWidth="1"/>
    <col min="5" max="5" width="12.421875" style="0" bestFit="1" customWidth="1"/>
    <col min="6" max="6" width="15.421875" style="0" customWidth="1"/>
    <col min="7" max="7" width="13.140625" style="0" customWidth="1"/>
    <col min="8" max="8" width="12.421875" style="0" customWidth="1"/>
    <col min="9" max="9" width="10.421875" style="0" customWidth="1"/>
    <col min="10" max="10" width="17.7109375" style="0" customWidth="1"/>
    <col min="11" max="11" width="8.8515625" style="0" customWidth="1"/>
    <col min="12" max="12" width="11.28125" style="0" bestFit="1" customWidth="1"/>
    <col min="13" max="14" width="12.421875" style="0" customWidth="1"/>
  </cols>
  <sheetData>
    <row r="1" ht="15.75">
      <c r="A1" s="197" t="s">
        <v>957</v>
      </c>
    </row>
    <row r="2" ht="12.75">
      <c r="A2" s="14" t="s">
        <v>808</v>
      </c>
    </row>
    <row r="3" ht="12.75">
      <c r="A3" s="14"/>
    </row>
    <row r="4" spans="1:3" ht="12.75">
      <c r="A4" s="14" t="s">
        <v>108</v>
      </c>
      <c r="C4" s="15">
        <v>17000000</v>
      </c>
    </row>
    <row r="5" spans="1:3" ht="12.75">
      <c r="A5" s="14"/>
      <c r="C5" s="15"/>
    </row>
    <row r="7" spans="2:14" s="505" customFormat="1" ht="31.5" customHeight="1">
      <c r="B7" s="1191" t="s">
        <v>870</v>
      </c>
      <c r="C7" s="1191"/>
      <c r="D7" s="1191" t="s">
        <v>871</v>
      </c>
      <c r="E7" s="1191"/>
      <c r="F7" s="264" t="s">
        <v>879</v>
      </c>
      <c r="G7" s="1192" t="s">
        <v>958</v>
      </c>
      <c r="H7" s="1194"/>
      <c r="I7" s="435" t="s">
        <v>393</v>
      </c>
      <c r="J7" s="435" t="s">
        <v>394</v>
      </c>
      <c r="K7" s="536" t="s">
        <v>395</v>
      </c>
      <c r="L7" s="1317" t="s">
        <v>396</v>
      </c>
      <c r="M7" s="1318"/>
      <c r="N7" s="655" t="s">
        <v>839</v>
      </c>
    </row>
    <row r="8" spans="2:16" s="461" customFormat="1" ht="21" customHeight="1">
      <c r="B8" s="533" t="s">
        <v>377</v>
      </c>
      <c r="C8" s="533" t="s">
        <v>363</v>
      </c>
      <c r="D8" s="533" t="s">
        <v>377</v>
      </c>
      <c r="E8" s="533" t="s">
        <v>363</v>
      </c>
      <c r="F8" s="532" t="s">
        <v>1094</v>
      </c>
      <c r="G8" s="532" t="s">
        <v>959</v>
      </c>
      <c r="H8" s="938" t="s">
        <v>35</v>
      </c>
      <c r="I8" s="938" t="s">
        <v>41</v>
      </c>
      <c r="J8" s="938" t="s">
        <v>35</v>
      </c>
      <c r="K8" s="938" t="s">
        <v>99</v>
      </c>
      <c r="L8" s="533" t="s">
        <v>120</v>
      </c>
      <c r="M8" s="938" t="s">
        <v>806</v>
      </c>
      <c r="N8" s="533" t="s">
        <v>875</v>
      </c>
      <c r="P8" s="1027" t="s">
        <v>1093</v>
      </c>
    </row>
    <row r="9" spans="1:14" ht="12.75">
      <c r="A9" s="198" t="s">
        <v>367</v>
      </c>
      <c r="B9" s="77" t="s">
        <v>76</v>
      </c>
      <c r="C9" s="77" t="s">
        <v>76</v>
      </c>
      <c r="D9" s="46">
        <f>G9/F9</f>
        <v>21.235391257727873</v>
      </c>
      <c r="E9" s="208">
        <f>D9*(C12/B12)</f>
        <v>0.7649937125157039</v>
      </c>
      <c r="F9" s="525">
        <f>FatsCurrent!AE16</f>
        <v>1.306380552869369</v>
      </c>
      <c r="G9" s="523">
        <f>H9/C4</f>
        <v>27.741502171667904</v>
      </c>
      <c r="H9" s="271">
        <f>J9*I9</f>
        <v>471605536.91835433</v>
      </c>
      <c r="I9" s="940">
        <f>11/60</f>
        <v>0.18333333333333332</v>
      </c>
      <c r="J9" s="15">
        <f>Livestock!C66</f>
        <v>2572393837.7364783</v>
      </c>
      <c r="K9" s="1319" t="s">
        <v>807</v>
      </c>
      <c r="L9" s="1319"/>
      <c r="M9" s="1319"/>
      <c r="N9" s="77" t="s">
        <v>76</v>
      </c>
    </row>
    <row r="10" spans="1:16" s="504" customFormat="1" ht="12.75">
      <c r="A10" s="952" t="s">
        <v>980</v>
      </c>
      <c r="B10" s="77" t="s">
        <v>76</v>
      </c>
      <c r="C10" s="77" t="s">
        <v>76</v>
      </c>
      <c r="D10" s="957">
        <v>2</v>
      </c>
      <c r="E10" s="948">
        <f>D10*(C12/B12)</f>
        <v>0.0720489397375536</v>
      </c>
      <c r="F10" s="525">
        <f>FatsCurrent!AE16</f>
        <v>1.306380552869369</v>
      </c>
      <c r="G10" s="42">
        <f>D10*F10</f>
        <v>2.612761105738738</v>
      </c>
      <c r="H10" s="949">
        <f>G10*C4</f>
        <v>44416938.797558546</v>
      </c>
      <c r="I10" s="985">
        <v>0.17</v>
      </c>
      <c r="J10" s="949">
        <f>H10/I10</f>
        <v>261276110.5738738</v>
      </c>
      <c r="K10" s="18">
        <f>GlobalY!C25</f>
        <v>1592.0044252968</v>
      </c>
      <c r="L10" s="950">
        <f>J10/K10</f>
        <v>164117.7037087467</v>
      </c>
      <c r="M10" s="950">
        <f>L10/1000</f>
        <v>164.11770370874672</v>
      </c>
      <c r="N10" s="696" t="s">
        <v>76</v>
      </c>
      <c r="P10" s="952" t="s">
        <v>1103</v>
      </c>
    </row>
    <row r="11" spans="1:16" ht="12.75">
      <c r="A11" s="34" t="s">
        <v>392</v>
      </c>
      <c r="B11" s="77" t="s">
        <v>76</v>
      </c>
      <c r="C11" s="77" t="s">
        <v>76</v>
      </c>
      <c r="D11" s="176">
        <f>D12-D9-D10</f>
        <v>2.351970829655084</v>
      </c>
      <c r="E11" s="46">
        <f>D11*(C12/B12)</f>
        <v>0.08472850228515154</v>
      </c>
      <c r="F11" s="465">
        <f>FatsCurrent!AE16</f>
        <v>1.306380552869369</v>
      </c>
      <c r="G11" s="42">
        <f>D11*F11</f>
        <v>3.072568952777437</v>
      </c>
      <c r="H11" s="15">
        <f>G11*C4</f>
        <v>52233672.19721643</v>
      </c>
      <c r="I11" s="524">
        <v>0.415</v>
      </c>
      <c r="J11" s="17">
        <f>H11/I11</f>
        <v>125864270.35473838</v>
      </c>
      <c r="K11" s="939">
        <f>OilsY!G8</f>
        <v>1575.2</v>
      </c>
      <c r="L11" s="15">
        <f>J11/K11</f>
        <v>79903.67594891974</v>
      </c>
      <c r="M11" s="15">
        <f>L11/1000</f>
        <v>79.90367594891974</v>
      </c>
      <c r="N11" s="77" t="s">
        <v>76</v>
      </c>
      <c r="P11" s="14" t="s">
        <v>1092</v>
      </c>
    </row>
    <row r="12" spans="1:14" ht="12.75">
      <c r="A12" s="112" t="s">
        <v>960</v>
      </c>
      <c r="B12" s="277">
        <f>FatsCurrent!Z16</f>
        <v>57.8285391840745</v>
      </c>
      <c r="C12" s="941">
        <f>FatsCurrent!T16</f>
        <v>2.08324246739207</v>
      </c>
      <c r="D12" s="741">
        <f>30-Dairy!F16</f>
        <v>25.587362087382957</v>
      </c>
      <c r="E12" s="741">
        <f>D12*(C12/B12)</f>
        <v>0.9217711545384091</v>
      </c>
      <c r="F12" s="12"/>
      <c r="G12" s="12"/>
      <c r="H12" s="257"/>
      <c r="I12" s="12"/>
      <c r="J12" s="12"/>
      <c r="K12" s="12"/>
      <c r="L12" s="277">
        <f>L11+L10</f>
        <v>244021.37965766643</v>
      </c>
      <c r="M12" s="277">
        <f>M11+M10</f>
        <v>244.02137965766644</v>
      </c>
      <c r="N12" s="12"/>
    </row>
    <row r="16" ht="12.75">
      <c r="A16" s="14" t="s">
        <v>1218</v>
      </c>
    </row>
    <row r="17" spans="2:10" ht="12.75">
      <c r="B17" s="1249" t="s">
        <v>694</v>
      </c>
      <c r="C17" s="1249"/>
      <c r="D17" s="1249"/>
      <c r="E17" s="1249" t="s">
        <v>1219</v>
      </c>
      <c r="F17" s="1249"/>
      <c r="G17" s="1249"/>
      <c r="H17" s="1249" t="s">
        <v>961</v>
      </c>
      <c r="I17" s="1249"/>
      <c r="J17" s="1249"/>
    </row>
    <row r="18" spans="2:10" s="505" customFormat="1" ht="12.75">
      <c r="B18" s="264" t="s">
        <v>408</v>
      </c>
      <c r="C18" s="264" t="s">
        <v>405</v>
      </c>
      <c r="D18" s="264" t="s">
        <v>890</v>
      </c>
      <c r="E18" s="264" t="s">
        <v>408</v>
      </c>
      <c r="F18" s="264" t="s">
        <v>405</v>
      </c>
      <c r="G18" s="264" t="s">
        <v>890</v>
      </c>
      <c r="H18" s="264" t="s">
        <v>408</v>
      </c>
      <c r="I18" s="264" t="s">
        <v>405</v>
      </c>
      <c r="J18" s="264" t="s">
        <v>890</v>
      </c>
    </row>
    <row r="19" spans="1:10" ht="12.75">
      <c r="A19" s="14" t="s">
        <v>962</v>
      </c>
      <c r="B19" s="42">
        <f>FatsCurrent!T16</f>
        <v>2.08324246739207</v>
      </c>
      <c r="C19" s="42">
        <f>D19/B19</f>
        <v>27.7589095312884</v>
      </c>
      <c r="D19" s="42">
        <f>FatsCurrent!Z16</f>
        <v>57.8285391840745</v>
      </c>
      <c r="E19" s="942">
        <f>E12</f>
        <v>0.9217711545384091</v>
      </c>
      <c r="F19" s="42">
        <f>G19/E19</f>
        <v>27.7589095312884</v>
      </c>
      <c r="G19" s="42">
        <f>D12</f>
        <v>25.587362087382957</v>
      </c>
      <c r="H19" s="942">
        <f>J19*(E12/D12)</f>
        <v>1.0807340960633038</v>
      </c>
      <c r="I19" s="42">
        <f>J19/H19</f>
        <v>27.758909531288403</v>
      </c>
      <c r="J19" s="42">
        <v>30</v>
      </c>
    </row>
    <row r="20" spans="1:10" ht="12.75">
      <c r="A20" s="14" t="s">
        <v>963</v>
      </c>
      <c r="B20" s="42">
        <f>Nuts!C15</f>
        <v>0.3804270490629178</v>
      </c>
      <c r="C20" s="42">
        <f>D20/B20</f>
        <v>14.699216301077646</v>
      </c>
      <c r="D20" s="42">
        <f>ProteinCurrent!AI30</f>
        <v>5.591979480956507</v>
      </c>
      <c r="E20" s="721">
        <f>Nuts!F15</f>
        <v>0.435</v>
      </c>
      <c r="F20" s="42">
        <f>G20/E20</f>
        <v>13.925973223692326</v>
      </c>
      <c r="G20" s="42">
        <f>Nuts!E26</f>
        <v>6.057798352306162</v>
      </c>
      <c r="H20" s="721">
        <f>4.5/7</f>
        <v>0.6428571428571429</v>
      </c>
      <c r="I20" s="42">
        <f>F20</f>
        <v>13.925973223692326</v>
      </c>
      <c r="J20" s="42">
        <f>H20*I20</f>
        <v>8.952411358087925</v>
      </c>
    </row>
    <row r="21" spans="1:10" ht="12.75">
      <c r="A21" s="14" t="s">
        <v>964</v>
      </c>
      <c r="B21" s="42">
        <f>ProteinCurrent!AD17</f>
        <v>0.4250263970380018</v>
      </c>
      <c r="C21" s="42"/>
      <c r="D21" s="42"/>
      <c r="E21" s="721">
        <f>Protein!D14</f>
        <v>0.5714285714285714</v>
      </c>
      <c r="F21" s="42"/>
      <c r="G21" s="42"/>
      <c r="H21" s="721">
        <f>9.5/7</f>
        <v>1.3571428571428572</v>
      </c>
      <c r="I21" s="42"/>
      <c r="J21" s="42"/>
    </row>
    <row r="22" spans="1:10" ht="12.75">
      <c r="A22" s="112" t="s">
        <v>965</v>
      </c>
      <c r="B22" s="741"/>
      <c r="C22" s="741"/>
      <c r="D22" s="741"/>
      <c r="E22" s="942"/>
      <c r="F22" s="741"/>
      <c r="G22" s="741"/>
      <c r="H22" s="942"/>
      <c r="I22" s="741"/>
      <c r="J22" s="741"/>
    </row>
    <row r="23" spans="1:10" ht="12.75">
      <c r="A23" s="14"/>
      <c r="B23" s="42"/>
      <c r="C23" s="42"/>
      <c r="D23" s="42"/>
      <c r="E23" s="42"/>
      <c r="F23" s="42"/>
      <c r="G23" s="42"/>
      <c r="H23" s="42"/>
      <c r="I23" s="42"/>
      <c r="J23" s="42"/>
    </row>
    <row r="24" spans="1:10" ht="12.75">
      <c r="A24" s="14" t="s">
        <v>966</v>
      </c>
      <c r="B24" s="43">
        <f>DairyCurrent!AF45</f>
        <v>1.527253253870135</v>
      </c>
      <c r="C24" s="42"/>
      <c r="D24" s="523" t="s">
        <v>967</v>
      </c>
      <c r="E24" s="721">
        <f>Dairy!D19</f>
        <v>1.531716697916057</v>
      </c>
      <c r="F24" s="42">
        <f>G24/E24</f>
        <v>7.727981864416076</v>
      </c>
      <c r="G24" s="958">
        <f>Dairy!$F$19</f>
        <v>11.837078862918567</v>
      </c>
      <c r="H24" s="721">
        <v>3</v>
      </c>
      <c r="I24" s="42">
        <f>244*0.01</f>
        <v>2.44</v>
      </c>
      <c r="J24" s="42">
        <f>I24*H24</f>
        <v>7.32</v>
      </c>
    </row>
    <row r="25" spans="1:10" ht="12.75">
      <c r="A25" s="14" t="s">
        <v>968</v>
      </c>
      <c r="B25" s="42">
        <f>FatsCurrent!T8</f>
        <v>0.12842788134102898</v>
      </c>
      <c r="C25" s="42">
        <f>D25/B25</f>
        <v>22.679600000000004</v>
      </c>
      <c r="D25" s="479">
        <f>FatsCurrent!Z8</f>
        <v>2.9126929776620014</v>
      </c>
      <c r="E25" s="721">
        <f>Dairy!$D$16</f>
        <v>0.19456418599168607</v>
      </c>
      <c r="F25" s="42">
        <f>G25/E25</f>
        <v>22.679600000000004</v>
      </c>
      <c r="G25" s="958">
        <f>Dairy!$F$16</f>
        <v>4.412637912617044</v>
      </c>
      <c r="H25" s="943">
        <v>0</v>
      </c>
      <c r="I25" s="383">
        <v>0</v>
      </c>
      <c r="J25" s="383">
        <v>0</v>
      </c>
    </row>
    <row r="26" spans="1:11" ht="12.75">
      <c r="A26" s="14" t="s">
        <v>969</v>
      </c>
      <c r="B26" s="42">
        <f>ProteinCurrent!T9</f>
        <v>2.017187105193384</v>
      </c>
      <c r="C26" s="42"/>
      <c r="D26" s="1315" t="s">
        <v>970</v>
      </c>
      <c r="E26" s="721">
        <f>Protein!D8</f>
        <v>0.5488561845086742</v>
      </c>
      <c r="F26" s="42"/>
      <c r="G26" s="958">
        <f>Cattle!J20</f>
        <v>2.281794928597132</v>
      </c>
      <c r="H26" s="721">
        <f>(30/7)*B26/6.856</f>
        <v>1.260952099429103</v>
      </c>
      <c r="I26" s="42">
        <f>28.35*0.1</f>
        <v>2.8350000000000004</v>
      </c>
      <c r="J26" s="42">
        <f aca="true" t="shared" si="0" ref="J26:J31">H26*I26</f>
        <v>3.5747992018815076</v>
      </c>
      <c r="K26" s="14"/>
    </row>
    <row r="27" spans="1:11" ht="12.75">
      <c r="A27" s="14" t="s">
        <v>971</v>
      </c>
      <c r="B27" s="42">
        <f>ProteinCurrent!T13</f>
        <v>1.369442488959365</v>
      </c>
      <c r="C27" s="42"/>
      <c r="D27" s="1316"/>
      <c r="E27" s="721">
        <f>Protein!D10</f>
        <v>0.6</v>
      </c>
      <c r="F27" s="42"/>
      <c r="G27" s="958">
        <f>Pigs!I19</f>
        <v>4.976378098719114</v>
      </c>
      <c r="H27" s="721">
        <f>(30/7)*B27/6.856</f>
        <v>0.8560442296378762</v>
      </c>
      <c r="I27" s="42">
        <f>28.35*0.1</f>
        <v>2.8350000000000004</v>
      </c>
      <c r="J27" s="42">
        <f t="shared" si="0"/>
        <v>2.4268853910233794</v>
      </c>
      <c r="K27" s="465"/>
    </row>
    <row r="28" spans="1:10" ht="12.75">
      <c r="A28" s="14" t="s">
        <v>972</v>
      </c>
      <c r="B28" s="42">
        <f>ProteinCurrent!R12</f>
        <v>0.5268167074570755</v>
      </c>
      <c r="C28" s="42"/>
      <c r="D28" s="1316"/>
      <c r="E28" s="721">
        <f>Protein!D9</f>
        <v>0.08571428571428572</v>
      </c>
      <c r="F28" s="42"/>
      <c r="G28" s="958">
        <f>Lamb!I19</f>
        <v>0.4359994955607142</v>
      </c>
      <c r="H28" s="721">
        <f>(30/7)*B28/6.856</f>
        <v>0.32931532804868036</v>
      </c>
      <c r="I28" s="42">
        <f>28.35*0.1</f>
        <v>2.8350000000000004</v>
      </c>
      <c r="J28" s="42">
        <f t="shared" si="0"/>
        <v>0.9336089550180089</v>
      </c>
    </row>
    <row r="29" spans="1:10" ht="12.75">
      <c r="A29" s="14" t="s">
        <v>973</v>
      </c>
      <c r="B29" s="42">
        <f>ProteinCurrent!T15</f>
        <v>2.100394374082968</v>
      </c>
      <c r="C29" s="42"/>
      <c r="D29" s="1316"/>
      <c r="E29" s="721">
        <f>Protein!D12</f>
        <v>2.100394374082968</v>
      </c>
      <c r="F29" s="42"/>
      <c r="G29" s="1126"/>
      <c r="H29" s="721">
        <f>(30/7)*B29/6.856</f>
        <v>1.3129653113537472</v>
      </c>
      <c r="I29" s="42">
        <f>28.35*0.1</f>
        <v>2.8350000000000004</v>
      </c>
      <c r="J29" s="42">
        <f t="shared" si="0"/>
        <v>3.7222566576878737</v>
      </c>
    </row>
    <row r="30" spans="1:10" ht="12.75">
      <c r="A30" s="14" t="s">
        <v>974</v>
      </c>
      <c r="B30" s="42">
        <f>ProteinCurrent!T16</f>
        <v>0.3696149851240257</v>
      </c>
      <c r="C30" s="42"/>
      <c r="D30" s="1316"/>
      <c r="E30" s="721">
        <f>Protein!D13</f>
        <v>0.3696149851240257</v>
      </c>
      <c r="F30" s="42"/>
      <c r="G30" s="1126"/>
      <c r="H30" s="721">
        <f>(30/7)*B30/6.856</f>
        <v>0.23104787368146296</v>
      </c>
      <c r="I30" s="42">
        <f>28.35*0.1</f>
        <v>2.8350000000000004</v>
      </c>
      <c r="J30" s="42">
        <f>H30*I30</f>
        <v>0.6550207218869476</v>
      </c>
    </row>
    <row r="31" spans="1:10" ht="12.75">
      <c r="A31" s="14" t="s">
        <v>975</v>
      </c>
      <c r="B31" s="42">
        <f>ProteinCurrent!AD14</f>
        <v>0.47264608539348235</v>
      </c>
      <c r="C31" s="42">
        <v>6.7</v>
      </c>
      <c r="D31" s="479">
        <f>C31*B31</f>
        <v>3.1667287721363317</v>
      </c>
      <c r="E31" s="721">
        <f>Protein!D11</f>
        <v>0.47264608539348235</v>
      </c>
      <c r="F31" s="42">
        <v>6.7</v>
      </c>
      <c r="G31" s="42">
        <f>E31*F31</f>
        <v>3.1667287721363317</v>
      </c>
      <c r="H31" s="721">
        <f>(30/7)*B31/6.856*(ProteinCurrent!T14/ProteinCurrent!AD14)</f>
        <v>0.521090399381266</v>
      </c>
      <c r="I31" s="42">
        <v>6.7</v>
      </c>
      <c r="J31" s="42">
        <f t="shared" si="0"/>
        <v>3.4913056758544823</v>
      </c>
    </row>
    <row r="32" spans="1:10" ht="12.75">
      <c r="A32" s="112" t="s">
        <v>976</v>
      </c>
      <c r="B32" s="741"/>
      <c r="C32" s="741"/>
      <c r="D32" s="821" t="s">
        <v>977</v>
      </c>
      <c r="E32" s="942"/>
      <c r="F32" s="741"/>
      <c r="G32" s="741">
        <f>SUM(G24:G31)</f>
        <v>27.110618070548902</v>
      </c>
      <c r="H32" s="741">
        <f>SUM(H24:H31)</f>
        <v>7.511415241532135</v>
      </c>
      <c r="I32" s="741">
        <f>SUM(I24:I31)</f>
        <v>23.315</v>
      </c>
      <c r="J32" s="741">
        <f>SUM(J24:J31)</f>
        <v>22.1238766033522</v>
      </c>
    </row>
    <row r="33" spans="1:8" ht="12.75">
      <c r="A33" s="14"/>
      <c r="D33" s="14"/>
      <c r="H33" s="46"/>
    </row>
  </sheetData>
  <sheetProtection/>
  <mergeCells count="9">
    <mergeCell ref="D26:D30"/>
    <mergeCell ref="B7:C7"/>
    <mergeCell ref="D7:E7"/>
    <mergeCell ref="G7:H7"/>
    <mergeCell ref="L7:M7"/>
    <mergeCell ref="K9:M9"/>
    <mergeCell ref="B17:D17"/>
    <mergeCell ref="E17:G17"/>
    <mergeCell ref="H17:J17"/>
  </mergeCells>
  <printOptions/>
  <pageMargins left="0.7" right="0.7" top="0.75" bottom="0.75" header="0.3" footer="0.3"/>
  <pageSetup orientation="portrait" paperSize="9"/>
  <legacyDrawing r:id="rId2"/>
</worksheet>
</file>

<file path=xl/worksheets/sheet26.xml><?xml version="1.0" encoding="utf-8"?>
<worksheet xmlns="http://schemas.openxmlformats.org/spreadsheetml/2006/main" xmlns:r="http://schemas.openxmlformats.org/officeDocument/2006/relationships">
  <dimension ref="A1:AF29"/>
  <sheetViews>
    <sheetView zoomScalePageLayoutView="0" workbookViewId="0" topLeftCell="A1">
      <selection activeCell="A2" sqref="A2"/>
    </sheetView>
  </sheetViews>
  <sheetFormatPr defaultColWidth="8.8515625" defaultRowHeight="12.75"/>
  <cols>
    <col min="1" max="1" width="24.421875" style="0" customWidth="1"/>
    <col min="2" max="2" width="8.8515625" style="0" customWidth="1"/>
    <col min="3" max="3" width="1.421875" style="0" hidden="1" customWidth="1"/>
    <col min="4" max="4" width="0" style="0" hidden="1" customWidth="1"/>
    <col min="5" max="5" width="0.9921875" style="0" hidden="1" customWidth="1"/>
    <col min="6" max="6" width="0" style="0" hidden="1" customWidth="1"/>
    <col min="7" max="7" width="1.421875" style="0" hidden="1" customWidth="1"/>
    <col min="8" max="8" width="0" style="0" hidden="1" customWidth="1"/>
    <col min="9" max="9" width="1.1484375" style="0" hidden="1" customWidth="1"/>
    <col min="10" max="10" width="0" style="0" hidden="1" customWidth="1"/>
    <col min="11" max="11" width="1.421875" style="0" hidden="1" customWidth="1"/>
    <col min="12" max="12" width="0" style="0" hidden="1" customWidth="1"/>
    <col min="13" max="13" width="1.8515625" style="0" hidden="1" customWidth="1"/>
    <col min="14" max="14" width="0" style="0" hidden="1" customWidth="1"/>
    <col min="15" max="15" width="1.8515625" style="0" hidden="1" customWidth="1"/>
    <col min="16" max="16" width="8.8515625" style="0" customWidth="1"/>
    <col min="17" max="17" width="1.8515625" style="0" hidden="1" customWidth="1"/>
    <col min="18" max="18" width="8.8515625" style="0" customWidth="1"/>
    <col min="19" max="19" width="1.8515625" style="0" hidden="1" customWidth="1"/>
    <col min="20" max="20" width="8.8515625" style="0" customWidth="1"/>
    <col min="21" max="21" width="1.28515625" style="0" hidden="1" customWidth="1"/>
    <col min="22" max="22" width="8.8515625" style="0" customWidth="1"/>
    <col min="23" max="23" width="1.28515625" style="0" hidden="1" customWidth="1"/>
    <col min="24" max="24" width="8.8515625" style="0" customWidth="1"/>
    <col min="25" max="25" width="1.28515625" style="0" hidden="1" customWidth="1"/>
    <col min="26" max="26" width="8.8515625" style="0" customWidth="1"/>
    <col min="27" max="27" width="1.421875" style="0" hidden="1" customWidth="1"/>
    <col min="28" max="28" width="8.8515625" style="0" customWidth="1"/>
    <col min="29" max="29" width="1.421875" style="0" hidden="1" customWidth="1"/>
    <col min="30" max="30" width="11.28125" style="0" customWidth="1"/>
    <col min="31" max="31" width="17.140625" style="0" customWidth="1"/>
  </cols>
  <sheetData>
    <row r="1" ht="18">
      <c r="A1" s="301" t="s">
        <v>627</v>
      </c>
    </row>
    <row r="2" ht="12.75">
      <c r="A2" s="14" t="s">
        <v>200</v>
      </c>
    </row>
    <row r="3" spans="1:31" s="14" customFormat="1" ht="12" customHeight="1">
      <c r="A3" s="1275" t="s">
        <v>397</v>
      </c>
      <c r="B3" s="1293" t="s">
        <v>475</v>
      </c>
      <c r="C3" s="1275"/>
      <c r="D3" s="1274" t="s">
        <v>125</v>
      </c>
      <c r="E3" s="1275"/>
      <c r="F3" s="1293" t="s">
        <v>126</v>
      </c>
      <c r="G3" s="1275"/>
      <c r="H3" s="1293" t="s">
        <v>127</v>
      </c>
      <c r="I3" s="1275"/>
      <c r="J3" s="1293" t="s">
        <v>128</v>
      </c>
      <c r="K3" s="1275"/>
      <c r="L3" s="1311" t="s">
        <v>129</v>
      </c>
      <c r="M3" s="1312"/>
      <c r="N3" s="1312"/>
      <c r="O3" s="1313"/>
      <c r="P3" s="1293" t="s">
        <v>130</v>
      </c>
      <c r="Q3" s="1275"/>
      <c r="R3" s="1293" t="s">
        <v>131</v>
      </c>
      <c r="S3" s="1294"/>
      <c r="T3" s="1294"/>
      <c r="U3" s="1294"/>
      <c r="V3" s="1294"/>
      <c r="W3" s="1275"/>
      <c r="X3" s="1293" t="s">
        <v>628</v>
      </c>
      <c r="Y3" s="1275"/>
      <c r="Z3" s="1293" t="s">
        <v>629</v>
      </c>
      <c r="AA3" s="1275"/>
      <c r="AB3" s="1274" t="s">
        <v>630</v>
      </c>
      <c r="AC3" s="1294"/>
      <c r="AD3" s="1283" t="s">
        <v>867</v>
      </c>
      <c r="AE3" s="1280"/>
    </row>
    <row r="4" spans="1:31" s="14" customFormat="1" ht="12" customHeight="1">
      <c r="A4" s="1277"/>
      <c r="B4" s="1276"/>
      <c r="C4" s="1277"/>
      <c r="D4" s="1276"/>
      <c r="E4" s="1277"/>
      <c r="F4" s="1276"/>
      <c r="G4" s="1277"/>
      <c r="H4" s="1276"/>
      <c r="I4" s="1277"/>
      <c r="J4" s="1276"/>
      <c r="K4" s="1277"/>
      <c r="L4" s="1293" t="s">
        <v>133</v>
      </c>
      <c r="M4" s="1275"/>
      <c r="N4" s="1293" t="s">
        <v>134</v>
      </c>
      <c r="O4" s="1275"/>
      <c r="P4" s="1276"/>
      <c r="Q4" s="1277"/>
      <c r="R4" s="1276"/>
      <c r="S4" s="1295"/>
      <c r="T4" s="1295"/>
      <c r="U4" s="1295"/>
      <c r="V4" s="1295"/>
      <c r="W4" s="1277"/>
      <c r="X4" s="1276"/>
      <c r="Y4" s="1277"/>
      <c r="Z4" s="1276"/>
      <c r="AA4" s="1277"/>
      <c r="AB4" s="1276"/>
      <c r="AC4" s="1295"/>
      <c r="AD4" s="1284"/>
      <c r="AE4" s="1281"/>
    </row>
    <row r="5" spans="1:31" s="19" customFormat="1" ht="12" customHeight="1">
      <c r="A5" s="1277"/>
      <c r="B5" s="1276"/>
      <c r="C5" s="1277"/>
      <c r="D5" s="1276"/>
      <c r="E5" s="1277"/>
      <c r="F5" s="1276"/>
      <c r="G5" s="1277"/>
      <c r="H5" s="1276"/>
      <c r="I5" s="1277"/>
      <c r="J5" s="1276"/>
      <c r="K5" s="1277"/>
      <c r="L5" s="1276"/>
      <c r="M5" s="1277"/>
      <c r="N5" s="1276"/>
      <c r="O5" s="1277"/>
      <c r="P5" s="1276"/>
      <c r="Q5" s="1277"/>
      <c r="R5" s="1276"/>
      <c r="S5" s="1295"/>
      <c r="T5" s="1295"/>
      <c r="U5" s="1295"/>
      <c r="V5" s="1295"/>
      <c r="W5" s="1277"/>
      <c r="X5" s="1276"/>
      <c r="Y5" s="1277"/>
      <c r="Z5" s="1276"/>
      <c r="AA5" s="1277"/>
      <c r="AB5" s="1276"/>
      <c r="AC5" s="1295"/>
      <c r="AD5" s="1284"/>
      <c r="AE5" s="1281"/>
    </row>
    <row r="6" spans="1:31" s="19" customFormat="1" ht="21" customHeight="1">
      <c r="A6" s="1279"/>
      <c r="B6" s="1278"/>
      <c r="C6" s="1279"/>
      <c r="D6" s="1278"/>
      <c r="E6" s="1279"/>
      <c r="F6" s="1278"/>
      <c r="G6" s="1279"/>
      <c r="H6" s="1278"/>
      <c r="I6" s="1279"/>
      <c r="J6" s="1278"/>
      <c r="K6" s="1279"/>
      <c r="L6" s="1278"/>
      <c r="M6" s="1279"/>
      <c r="N6" s="1278"/>
      <c r="O6" s="1279"/>
      <c r="P6" s="1278"/>
      <c r="Q6" s="1279"/>
      <c r="R6" s="1278"/>
      <c r="S6" s="1296"/>
      <c r="T6" s="1296"/>
      <c r="U6" s="1296"/>
      <c r="V6" s="1296"/>
      <c r="W6" s="1279"/>
      <c r="X6" s="1278"/>
      <c r="Y6" s="1279"/>
      <c r="Z6" s="1278"/>
      <c r="AA6" s="1279"/>
      <c r="AB6" s="1278"/>
      <c r="AC6" s="1296"/>
      <c r="AD6" s="1285"/>
      <c r="AE6" s="1282"/>
    </row>
    <row r="7" spans="1:32" s="19" customFormat="1" ht="12" customHeight="1">
      <c r="A7" s="377"/>
      <c r="B7" s="1191" t="s">
        <v>477</v>
      </c>
      <c r="C7" s="1191"/>
      <c r="D7" s="1191" t="s">
        <v>478</v>
      </c>
      <c r="E7" s="1191"/>
      <c r="F7" s="1191" t="s">
        <v>477</v>
      </c>
      <c r="G7" s="1191"/>
      <c r="H7" s="1191" t="s">
        <v>478</v>
      </c>
      <c r="I7" s="1191"/>
      <c r="J7" s="1191" t="s">
        <v>477</v>
      </c>
      <c r="K7" s="1191"/>
      <c r="L7" s="1191" t="s">
        <v>478</v>
      </c>
      <c r="M7" s="1191"/>
      <c r="N7" s="1191" t="s">
        <v>478</v>
      </c>
      <c r="O7" s="1191"/>
      <c r="P7" s="1191" t="s">
        <v>478</v>
      </c>
      <c r="Q7" s="1191"/>
      <c r="R7" s="1191" t="s">
        <v>477</v>
      </c>
      <c r="S7" s="1191"/>
      <c r="T7" s="1191" t="s">
        <v>66</v>
      </c>
      <c r="U7" s="1191"/>
      <c r="V7" s="1191" t="s">
        <v>479</v>
      </c>
      <c r="W7" s="1191"/>
      <c r="X7" s="1191" t="s">
        <v>480</v>
      </c>
      <c r="Y7" s="1191"/>
      <c r="Z7" s="1191" t="s">
        <v>135</v>
      </c>
      <c r="AA7" s="1191"/>
      <c r="AB7" s="1191" t="s">
        <v>480</v>
      </c>
      <c r="AC7" s="1192"/>
      <c r="AD7" s="769" t="s">
        <v>868</v>
      </c>
      <c r="AE7" s="159" t="s">
        <v>978</v>
      </c>
      <c r="AF7" s="19" t="s">
        <v>979</v>
      </c>
    </row>
    <row r="8" spans="1:32" s="19" customFormat="1" ht="12.75">
      <c r="A8" s="62" t="s">
        <v>49</v>
      </c>
      <c r="B8" s="272">
        <v>4.846585679226176</v>
      </c>
      <c r="C8" s="272"/>
      <c r="D8" s="272">
        <v>0</v>
      </c>
      <c r="E8" s="272"/>
      <c r="F8" s="272">
        <v>4.846585679226176</v>
      </c>
      <c r="G8" s="272"/>
      <c r="H8" s="272">
        <v>7</v>
      </c>
      <c r="I8" s="272"/>
      <c r="J8" s="272">
        <v>4.507324681680343</v>
      </c>
      <c r="K8" s="272"/>
      <c r="L8" s="272">
        <v>0</v>
      </c>
      <c r="M8" s="272"/>
      <c r="N8" s="272">
        <v>35</v>
      </c>
      <c r="O8" s="272"/>
      <c r="P8" s="184">
        <f>(1/100)*39.55</f>
        <v>0.39549999999999996</v>
      </c>
      <c r="Q8" s="272"/>
      <c r="R8" s="272">
        <v>2.929761043092223</v>
      </c>
      <c r="S8" s="272"/>
      <c r="T8" s="265">
        <v>0.12842788134102898</v>
      </c>
      <c r="U8" s="265"/>
      <c r="V8" s="265">
        <v>3.6408662220775008</v>
      </c>
      <c r="W8" s="265"/>
      <c r="X8" s="17">
        <v>9</v>
      </c>
      <c r="Y8" s="272"/>
      <c r="Z8" s="265">
        <v>2.9126929776620014</v>
      </c>
      <c r="AA8" s="265"/>
      <c r="AB8" s="17">
        <v>26.214236798958005</v>
      </c>
      <c r="AC8" s="14"/>
      <c r="AD8" s="770">
        <f>B8/T8</f>
        <v>37.73779983457403</v>
      </c>
      <c r="AE8" s="58">
        <f>B8/Z8</f>
        <v>1.663953501586184</v>
      </c>
      <c r="AF8" s="944"/>
    </row>
    <row r="9" spans="1:31" s="19" customFormat="1" ht="12.75">
      <c r="A9" s="62" t="s">
        <v>632</v>
      </c>
      <c r="B9" s="272">
        <v>1.4651474293794693</v>
      </c>
      <c r="C9" s="272"/>
      <c r="D9" s="272">
        <v>0</v>
      </c>
      <c r="E9" s="272"/>
      <c r="F9" s="272">
        <v>1.4651474293794693</v>
      </c>
      <c r="G9" s="272"/>
      <c r="H9" s="272">
        <v>50</v>
      </c>
      <c r="I9" s="272"/>
      <c r="J9" s="272">
        <v>0.7325737146897346</v>
      </c>
      <c r="K9" s="272"/>
      <c r="L9" s="272">
        <v>0</v>
      </c>
      <c r="M9" s="272"/>
      <c r="N9" s="272">
        <v>35</v>
      </c>
      <c r="O9" s="272"/>
      <c r="P9" s="184">
        <f>(1/100)*67.5</f>
        <v>0.675</v>
      </c>
      <c r="Q9" s="272"/>
      <c r="R9" s="272">
        <v>0.4761729145483276</v>
      </c>
      <c r="S9" s="272"/>
      <c r="T9" s="265">
        <v>0.020873333240474634</v>
      </c>
      <c r="U9" s="265"/>
      <c r="V9" s="265">
        <v>0.5917485607008356</v>
      </c>
      <c r="W9" s="265"/>
      <c r="X9" s="17">
        <v>9</v>
      </c>
      <c r="Y9" s="272"/>
      <c r="Z9" s="265">
        <v>0.5917485607008356</v>
      </c>
      <c r="AA9" s="265"/>
      <c r="AB9" s="17">
        <v>5.325737046307521</v>
      </c>
      <c r="AC9" s="14"/>
      <c r="AD9" s="770">
        <f>B9/T9</f>
        <v>70.19230769230768</v>
      </c>
      <c r="AE9" s="58">
        <f aca="true" t="shared" si="0" ref="AE9:AE17">B9/Z9</f>
        <v>2.4759628103602425</v>
      </c>
    </row>
    <row r="10" spans="1:31" s="19" customFormat="1" ht="12.75">
      <c r="A10" s="511" t="s">
        <v>633</v>
      </c>
      <c r="B10" s="512">
        <v>2.747979767612776</v>
      </c>
      <c r="C10" s="512"/>
      <c r="D10" s="512">
        <v>0</v>
      </c>
      <c r="E10" s="512"/>
      <c r="F10" s="512">
        <v>2.747979767612776</v>
      </c>
      <c r="G10" s="512"/>
      <c r="H10" s="512">
        <v>50</v>
      </c>
      <c r="I10" s="512"/>
      <c r="J10" s="512">
        <v>1.373989883806388</v>
      </c>
      <c r="K10" s="512"/>
      <c r="L10" s="512">
        <v>0</v>
      </c>
      <c r="M10" s="512"/>
      <c r="N10" s="512">
        <v>35</v>
      </c>
      <c r="O10" s="512"/>
      <c r="P10" s="513">
        <f>(1/100)*67.5</f>
        <v>0.675</v>
      </c>
      <c r="Q10" s="512"/>
      <c r="R10" s="512">
        <v>0.893093424474152</v>
      </c>
      <c r="S10" s="512"/>
      <c r="T10" s="514">
        <v>0.03914930079886694</v>
      </c>
      <c r="U10" s="514"/>
      <c r="V10" s="514">
        <v>1.1098631029974784</v>
      </c>
      <c r="W10" s="514"/>
      <c r="X10" s="515">
        <v>9</v>
      </c>
      <c r="Y10" s="512"/>
      <c r="Z10" s="514">
        <v>1.1098631029974784</v>
      </c>
      <c r="AA10" s="514"/>
      <c r="AB10" s="515">
        <v>9.988767926977305</v>
      </c>
      <c r="AC10" s="14"/>
      <c r="AD10" s="771">
        <f aca="true" t="shared" si="1" ref="AD10:AD17">B10/T10</f>
        <v>70.1923076923077</v>
      </c>
      <c r="AE10" s="945">
        <f t="shared" si="0"/>
        <v>2.4759628103602425</v>
      </c>
    </row>
    <row r="11" spans="1:31" s="19" customFormat="1" ht="12.75">
      <c r="A11" s="516" t="s">
        <v>804</v>
      </c>
      <c r="B11" s="517">
        <f>SUM(B8:B10)</f>
        <v>9.059712876218422</v>
      </c>
      <c r="C11" s="517"/>
      <c r="D11" s="517"/>
      <c r="E11" s="517"/>
      <c r="F11" s="517"/>
      <c r="G11" s="517"/>
      <c r="H11" s="517"/>
      <c r="I11" s="517"/>
      <c r="J11" s="517"/>
      <c r="K11" s="517"/>
      <c r="L11" s="517"/>
      <c r="M11" s="517"/>
      <c r="N11" s="517"/>
      <c r="O11" s="517"/>
      <c r="P11" s="518">
        <f>-((R11/B11)-1)</f>
        <v>0.525478628202493</v>
      </c>
      <c r="Q11" s="517"/>
      <c r="R11" s="517">
        <f>SUM(R8:R10)</f>
        <v>4.299027382114703</v>
      </c>
      <c r="S11" s="517"/>
      <c r="T11" s="517">
        <f>SUM(T8:T10)</f>
        <v>0.18845051538037055</v>
      </c>
      <c r="U11" s="519"/>
      <c r="V11" s="517">
        <f>SUM(V8:V10)</f>
        <v>5.342477885775814</v>
      </c>
      <c r="W11" s="519"/>
      <c r="X11" s="520">
        <v>9</v>
      </c>
      <c r="Y11" s="517"/>
      <c r="Z11" s="517">
        <f>SUM(Z8:Z10)</f>
        <v>4.614304641360315</v>
      </c>
      <c r="AA11" s="519"/>
      <c r="AB11" s="517">
        <f>SUM(AB8:AB10)</f>
        <v>41.52874177224283</v>
      </c>
      <c r="AC11" s="14"/>
      <c r="AD11" s="772">
        <f t="shared" si="1"/>
        <v>48.07475775766492</v>
      </c>
      <c r="AE11" s="946">
        <f t="shared" si="0"/>
        <v>1.9633972137452076</v>
      </c>
    </row>
    <row r="12" spans="1:31" s="19" customFormat="1" ht="12.75">
      <c r="A12" s="62" t="s">
        <v>631</v>
      </c>
      <c r="B12" s="272">
        <v>4.094467569405888</v>
      </c>
      <c r="C12" s="272"/>
      <c r="D12" s="272">
        <v>0</v>
      </c>
      <c r="E12" s="272"/>
      <c r="F12" s="272">
        <v>4.094467569405888</v>
      </c>
      <c r="G12" s="272"/>
      <c r="H12" s="272">
        <v>7</v>
      </c>
      <c r="I12" s="272"/>
      <c r="J12" s="272">
        <v>3.8078548395474754</v>
      </c>
      <c r="K12" s="272"/>
      <c r="L12" s="272">
        <v>0</v>
      </c>
      <c r="M12" s="272"/>
      <c r="N12" s="272">
        <v>35</v>
      </c>
      <c r="O12" s="272"/>
      <c r="P12" s="184">
        <f>(1/100)*39.55</f>
        <v>0.39549999999999996</v>
      </c>
      <c r="Q12" s="272"/>
      <c r="R12" s="272">
        <v>2.4751056457058587</v>
      </c>
      <c r="S12" s="272"/>
      <c r="T12" s="265">
        <v>0.10849778172957189</v>
      </c>
      <c r="U12" s="265"/>
      <c r="V12" s="265">
        <v>3.0758578631424984</v>
      </c>
      <c r="W12" s="265"/>
      <c r="X12" s="17">
        <v>9</v>
      </c>
      <c r="Y12" s="272"/>
      <c r="Z12" s="265">
        <v>1.845514717885499</v>
      </c>
      <c r="AA12" s="265"/>
      <c r="AB12" s="17">
        <v>16.609632460969486</v>
      </c>
      <c r="AC12" s="14"/>
      <c r="AD12" s="770">
        <f t="shared" si="1"/>
        <v>37.737799834574034</v>
      </c>
      <c r="AE12" s="58">
        <f t="shared" si="0"/>
        <v>2.2186046687815795</v>
      </c>
    </row>
    <row r="13" spans="1:31" s="19" customFormat="1" ht="12.75">
      <c r="A13" s="62" t="s">
        <v>634</v>
      </c>
      <c r="B13" s="272">
        <v>19.00818753250082</v>
      </c>
      <c r="C13" s="272"/>
      <c r="D13" s="272">
        <v>0</v>
      </c>
      <c r="E13" s="272"/>
      <c r="F13" s="272">
        <v>19.00818753250082</v>
      </c>
      <c r="G13" s="272"/>
      <c r="H13" s="272">
        <v>21</v>
      </c>
      <c r="I13" s="272"/>
      <c r="J13" s="272">
        <v>15.01646815067565</v>
      </c>
      <c r="K13" s="272"/>
      <c r="L13" s="272">
        <v>0</v>
      </c>
      <c r="M13" s="272"/>
      <c r="N13" s="272">
        <v>35</v>
      </c>
      <c r="O13" s="272"/>
      <c r="P13" s="184">
        <f>(1/100)*48.65</f>
        <v>0.4865</v>
      </c>
      <c r="Q13" s="272"/>
      <c r="R13" s="272">
        <v>9.76070429793917</v>
      </c>
      <c r="S13" s="272"/>
      <c r="T13" s="265">
        <v>0.42786648977267605</v>
      </c>
      <c r="U13" s="265"/>
      <c r="V13" s="265">
        <v>12.129801051810478</v>
      </c>
      <c r="W13" s="265"/>
      <c r="X13" s="17">
        <v>9</v>
      </c>
      <c r="Y13" s="272"/>
      <c r="Z13" s="265">
        <v>12.129801051810478</v>
      </c>
      <c r="AA13" s="265"/>
      <c r="AB13" s="17">
        <v>109.16820946629431</v>
      </c>
      <c r="AC13" s="14"/>
      <c r="AD13" s="770">
        <f t="shared" si="1"/>
        <v>44.42551119766309</v>
      </c>
      <c r="AE13" s="58">
        <f t="shared" si="0"/>
        <v>1.5670650698482547</v>
      </c>
    </row>
    <row r="14" spans="1:31" s="19" customFormat="1" ht="12.75">
      <c r="A14" s="62" t="s">
        <v>635</v>
      </c>
      <c r="B14" s="272">
        <v>50.67757749231286</v>
      </c>
      <c r="C14" s="272"/>
      <c r="D14" s="272">
        <v>0</v>
      </c>
      <c r="E14" s="272"/>
      <c r="F14" s="272">
        <v>50.67757749231286</v>
      </c>
      <c r="G14" s="272"/>
      <c r="H14" s="272">
        <v>21</v>
      </c>
      <c r="I14" s="272"/>
      <c r="J14" s="272">
        <v>40.035286218927155</v>
      </c>
      <c r="K14" s="272"/>
      <c r="L14" s="272">
        <v>0</v>
      </c>
      <c r="M14" s="272"/>
      <c r="N14" s="272">
        <v>15</v>
      </c>
      <c r="O14" s="272"/>
      <c r="P14" s="184">
        <f>(1/100)*32.85</f>
        <v>0.3285</v>
      </c>
      <c r="Q14" s="272"/>
      <c r="R14" s="272">
        <v>34.02999328608808</v>
      </c>
      <c r="S14" s="272"/>
      <c r="T14" s="265">
        <v>1.4917257330887925</v>
      </c>
      <c r="U14" s="265"/>
      <c r="V14" s="265">
        <v>42.28967867020073</v>
      </c>
      <c r="W14" s="265"/>
      <c r="X14" s="17">
        <v>9</v>
      </c>
      <c r="Y14" s="272"/>
      <c r="Z14" s="265">
        <v>42.28967867020073</v>
      </c>
      <c r="AA14" s="265"/>
      <c r="AB14" s="17">
        <v>380.6071080318065</v>
      </c>
      <c r="AC14" s="14"/>
      <c r="AD14" s="770">
        <f t="shared" si="1"/>
        <v>33.97244973938943</v>
      </c>
      <c r="AE14" s="58">
        <f t="shared" si="0"/>
        <v>1.198343876942783</v>
      </c>
    </row>
    <row r="15" spans="1:31" s="19" customFormat="1" ht="12.75">
      <c r="A15" s="521" t="s">
        <v>636</v>
      </c>
      <c r="B15" s="512">
        <v>1.7658463966996376</v>
      </c>
      <c r="C15" s="512"/>
      <c r="D15" s="512">
        <v>0</v>
      </c>
      <c r="E15" s="512"/>
      <c r="F15" s="512">
        <v>1.7658463966996376</v>
      </c>
      <c r="G15" s="512"/>
      <c r="H15" s="512">
        <v>5</v>
      </c>
      <c r="I15" s="512"/>
      <c r="J15" s="512">
        <v>1.6775540768646557</v>
      </c>
      <c r="K15" s="512"/>
      <c r="L15" s="512">
        <v>0</v>
      </c>
      <c r="M15" s="512"/>
      <c r="N15" s="512">
        <v>25</v>
      </c>
      <c r="O15" s="512"/>
      <c r="P15" s="513">
        <f>(1/100)*28.75</f>
        <v>0.28750000000000003</v>
      </c>
      <c r="Q15" s="512"/>
      <c r="R15" s="512">
        <v>1.2581655576484918</v>
      </c>
      <c r="S15" s="512"/>
      <c r="T15" s="514">
        <v>0.05515246280102978</v>
      </c>
      <c r="U15" s="514"/>
      <c r="V15" s="514">
        <v>1.5635447441777937</v>
      </c>
      <c r="W15" s="514"/>
      <c r="X15" s="515">
        <v>9</v>
      </c>
      <c r="Y15" s="512"/>
      <c r="Z15" s="514">
        <v>1.5635447441777937</v>
      </c>
      <c r="AA15" s="514"/>
      <c r="AB15" s="515">
        <v>14.071902697600143</v>
      </c>
      <c r="AC15" s="14"/>
      <c r="AD15" s="770">
        <f t="shared" si="1"/>
        <v>32.01754385964912</v>
      </c>
      <c r="AE15" s="58">
        <f t="shared" si="0"/>
        <v>1.1293865450766019</v>
      </c>
    </row>
    <row r="16" spans="1:31" s="82" customFormat="1" ht="12.75">
      <c r="A16" s="82" t="s">
        <v>805</v>
      </c>
      <c r="B16" s="522">
        <f>SUM(B12:B15)</f>
        <v>75.54607899091921</v>
      </c>
      <c r="C16" s="522"/>
      <c r="D16" s="522"/>
      <c r="E16" s="522"/>
      <c r="F16" s="522"/>
      <c r="G16" s="522"/>
      <c r="H16" s="522"/>
      <c r="I16" s="522"/>
      <c r="J16" s="522"/>
      <c r="K16" s="522"/>
      <c r="L16" s="522"/>
      <c r="M16" s="522"/>
      <c r="N16" s="522"/>
      <c r="O16" s="522"/>
      <c r="P16" s="167">
        <f>-((R16/B16)-1)</f>
        <v>0.3709273939539063</v>
      </c>
      <c r="Q16" s="522"/>
      <c r="R16" s="522">
        <f>SUM(R12:R15)</f>
        <v>47.5239687873816</v>
      </c>
      <c r="S16" s="522"/>
      <c r="T16" s="522">
        <f>SUM(T12:T15)</f>
        <v>2.08324246739207</v>
      </c>
      <c r="U16" s="393"/>
      <c r="V16" s="522">
        <f>SUM(V12:V15)</f>
        <v>59.0588823293315</v>
      </c>
      <c r="W16" s="393"/>
      <c r="X16" s="78">
        <v>9</v>
      </c>
      <c r="Y16" s="522"/>
      <c r="Z16" s="522">
        <f>SUM(Z12:Z15)</f>
        <v>57.8285391840745</v>
      </c>
      <c r="AA16" s="393"/>
      <c r="AB16" s="522">
        <f>SUM(AB12:AB15)</f>
        <v>520.4568526566704</v>
      </c>
      <c r="AD16" s="773">
        <f t="shared" si="1"/>
        <v>36.26369958053534</v>
      </c>
      <c r="AE16" s="947">
        <f t="shared" si="0"/>
        <v>1.306380552869369</v>
      </c>
    </row>
    <row r="17" spans="1:31" s="82" customFormat="1" ht="12.75">
      <c r="A17" s="158" t="s">
        <v>637</v>
      </c>
      <c r="B17" s="400">
        <v>84.60579186713763</v>
      </c>
      <c r="C17" s="400"/>
      <c r="D17" s="400"/>
      <c r="E17" s="400"/>
      <c r="F17" s="400">
        <v>84.60579186713763</v>
      </c>
      <c r="G17" s="400"/>
      <c r="H17" s="400"/>
      <c r="I17" s="400"/>
      <c r="J17" s="400">
        <v>67.1510515661914</v>
      </c>
      <c r="K17" s="400"/>
      <c r="L17" s="400"/>
      <c r="M17" s="400"/>
      <c r="N17" s="400"/>
      <c r="O17" s="400"/>
      <c r="P17" s="401">
        <f>(1/100)*38.7267999134556</f>
        <v>0.387267999134556</v>
      </c>
      <c r="Q17" s="400"/>
      <c r="R17" s="400">
        <v>51.82299616949631</v>
      </c>
      <c r="S17" s="400"/>
      <c r="T17" s="402">
        <v>2.271692982772441</v>
      </c>
      <c r="U17" s="402"/>
      <c r="V17" s="402">
        <v>64.4013602151073</v>
      </c>
      <c r="W17" s="402"/>
      <c r="X17" s="229">
        <v>9</v>
      </c>
      <c r="Y17" s="400"/>
      <c r="Z17" s="402">
        <v>62.44284382543482</v>
      </c>
      <c r="AA17" s="402"/>
      <c r="AB17" s="229">
        <v>561.9855944289133</v>
      </c>
      <c r="AC17" s="158"/>
      <c r="AD17" s="202">
        <f t="shared" si="1"/>
        <v>37.24349747468173</v>
      </c>
      <c r="AE17" s="58">
        <f t="shared" si="0"/>
        <v>1.3549317533272753</v>
      </c>
    </row>
    <row r="18" spans="2:28" s="82" customFormat="1" ht="12.75">
      <c r="B18" s="522"/>
      <c r="C18" s="522"/>
      <c r="D18" s="522"/>
      <c r="E18" s="522"/>
      <c r="F18" s="522"/>
      <c r="G18" s="522"/>
      <c r="H18" s="522"/>
      <c r="I18" s="522"/>
      <c r="J18" s="522"/>
      <c r="K18" s="522"/>
      <c r="L18" s="522"/>
      <c r="M18" s="522"/>
      <c r="N18" s="522"/>
      <c r="O18" s="522"/>
      <c r="P18" s="167"/>
      <c r="Q18" s="522"/>
      <c r="R18" s="522"/>
      <c r="S18" s="522"/>
      <c r="T18" s="393"/>
      <c r="U18" s="393"/>
      <c r="V18" s="393"/>
      <c r="W18" s="393"/>
      <c r="X18" s="78"/>
      <c r="Y18" s="522"/>
      <c r="Z18" s="393"/>
      <c r="AA18" s="393"/>
      <c r="AB18" s="78"/>
    </row>
    <row r="19" spans="1:31" s="82" customFormat="1" ht="12.75">
      <c r="A19" s="40"/>
      <c r="B19" s="403"/>
      <c r="C19" s="403"/>
      <c r="D19" s="403"/>
      <c r="E19" s="403"/>
      <c r="F19" s="403"/>
      <c r="G19" s="403"/>
      <c r="H19" s="403"/>
      <c r="I19" s="403"/>
      <c r="J19" s="403"/>
      <c r="K19" s="403"/>
      <c r="L19" s="403"/>
      <c r="M19" s="403"/>
      <c r="N19" s="403"/>
      <c r="O19" s="403"/>
      <c r="P19" s="390"/>
      <c r="Q19" s="403"/>
      <c r="R19" s="403"/>
      <c r="S19" s="403"/>
      <c r="T19" s="403"/>
      <c r="U19" s="403"/>
      <c r="V19" s="403"/>
      <c r="W19" s="403"/>
      <c r="X19" s="76"/>
      <c r="Y19" s="403"/>
      <c r="Z19" s="100"/>
      <c r="AA19" s="100"/>
      <c r="AB19" s="76"/>
      <c r="AC19" s="40"/>
      <c r="AE19" s="19"/>
    </row>
    <row r="20" spans="1:31" s="82" customFormat="1" ht="12.75">
      <c r="A20" s="40" t="s">
        <v>611</v>
      </c>
      <c r="B20" s="403">
        <v>3.5031296612798193</v>
      </c>
      <c r="C20" s="403"/>
      <c r="D20" s="403">
        <v>0</v>
      </c>
      <c r="E20" s="403"/>
      <c r="F20" s="403">
        <v>3.5031296612798193</v>
      </c>
      <c r="G20" s="403"/>
      <c r="H20" s="403">
        <v>12</v>
      </c>
      <c r="I20" s="403"/>
      <c r="J20" s="403">
        <v>3.082754101926241</v>
      </c>
      <c r="K20" s="403"/>
      <c r="L20" s="403">
        <v>0</v>
      </c>
      <c r="M20" s="403"/>
      <c r="N20" s="403">
        <v>12</v>
      </c>
      <c r="O20" s="403"/>
      <c r="P20" s="390">
        <f>(1/100)*22.56</f>
        <v>0.2256</v>
      </c>
      <c r="Q20" s="403"/>
      <c r="R20" s="403">
        <v>2.712823609695092</v>
      </c>
      <c r="S20" s="403"/>
      <c r="T20" s="100">
        <v>0.11891829521951089</v>
      </c>
      <c r="U20" s="100"/>
      <c r="V20" s="100">
        <v>3.3712742103255238</v>
      </c>
      <c r="W20" s="403"/>
      <c r="X20" s="76">
        <v>9</v>
      </c>
      <c r="Y20" s="403"/>
      <c r="Z20" s="100">
        <v>0.38769653418743527</v>
      </c>
      <c r="AA20" s="100"/>
      <c r="AB20" s="76">
        <v>3.489268807686918</v>
      </c>
      <c r="AC20" s="40"/>
      <c r="AD20" s="770">
        <f>B20/T20</f>
        <v>29.458290289256198</v>
      </c>
      <c r="AE20" s="58">
        <f aca="true" t="shared" si="2" ref="AE20:AE26">B20/Z20</f>
        <v>9.035751811973126</v>
      </c>
    </row>
    <row r="21" spans="1:31" s="82" customFormat="1" ht="12.75">
      <c r="A21" s="40" t="s">
        <v>638</v>
      </c>
      <c r="B21" s="403">
        <v>8.041294337763713</v>
      </c>
      <c r="C21" s="403"/>
      <c r="D21" s="403">
        <v>0</v>
      </c>
      <c r="E21" s="403"/>
      <c r="F21" s="403">
        <v>8.041294337763713</v>
      </c>
      <c r="G21" s="403"/>
      <c r="H21" s="403">
        <v>12</v>
      </c>
      <c r="I21" s="403"/>
      <c r="J21" s="403">
        <v>7.076339017232068</v>
      </c>
      <c r="K21" s="403"/>
      <c r="L21" s="403">
        <v>0</v>
      </c>
      <c r="M21" s="403"/>
      <c r="N21" s="403">
        <v>12</v>
      </c>
      <c r="O21" s="403"/>
      <c r="P21" s="390">
        <f>(1/100)*22.56</f>
        <v>0.2256</v>
      </c>
      <c r="Q21" s="403"/>
      <c r="R21" s="403">
        <v>6.22717833516422</v>
      </c>
      <c r="S21" s="403"/>
      <c r="T21" s="100">
        <v>0.27297220099350006</v>
      </c>
      <c r="U21" s="100"/>
      <c r="V21" s="100">
        <v>7.73862541206523</v>
      </c>
      <c r="W21" s="403"/>
      <c r="X21" s="76">
        <v>9</v>
      </c>
      <c r="Y21" s="403"/>
      <c r="Z21" s="100">
        <v>1.4935547045285893</v>
      </c>
      <c r="AA21" s="100"/>
      <c r="AB21" s="76">
        <v>13.441992340757304</v>
      </c>
      <c r="AC21" s="40"/>
      <c r="AD21" s="770">
        <f aca="true" t="shared" si="3" ref="AD21:AD26">B21/T21</f>
        <v>29.458290289256194</v>
      </c>
      <c r="AE21" s="58">
        <f t="shared" si="2"/>
        <v>5.3839971936627435</v>
      </c>
    </row>
    <row r="22" spans="1:31" s="82" customFormat="1" ht="12.75">
      <c r="A22" s="40" t="s">
        <v>639</v>
      </c>
      <c r="B22" s="403">
        <v>2.225929539161773</v>
      </c>
      <c r="C22" s="403"/>
      <c r="D22" s="403">
        <v>0</v>
      </c>
      <c r="E22" s="403"/>
      <c r="F22" s="403">
        <v>2.225929539161773</v>
      </c>
      <c r="G22" s="403"/>
      <c r="H22" s="403">
        <v>12</v>
      </c>
      <c r="I22" s="403"/>
      <c r="J22" s="403">
        <v>1.9588179944623605</v>
      </c>
      <c r="K22" s="403"/>
      <c r="L22" s="403">
        <v>0</v>
      </c>
      <c r="M22" s="403"/>
      <c r="N22" s="403">
        <v>12</v>
      </c>
      <c r="O22" s="403"/>
      <c r="P22" s="390">
        <f>(1/100)*22.56</f>
        <v>0.2256</v>
      </c>
      <c r="Q22" s="403"/>
      <c r="R22" s="403">
        <v>1.7237598351268772</v>
      </c>
      <c r="S22" s="403"/>
      <c r="T22" s="100">
        <v>0.07556207496446585</v>
      </c>
      <c r="U22" s="100"/>
      <c r="V22" s="100">
        <v>2.1421470442051245</v>
      </c>
      <c r="W22" s="403"/>
      <c r="X22" s="76">
        <v>9</v>
      </c>
      <c r="Y22" s="403"/>
      <c r="Z22" s="100">
        <v>0.792594406355896</v>
      </c>
      <c r="AA22" s="100"/>
      <c r="AB22" s="76">
        <v>7.133349657203064</v>
      </c>
      <c r="AC22" s="40"/>
      <c r="AD22" s="770">
        <f t="shared" si="3"/>
        <v>29.458290289256194</v>
      </c>
      <c r="AE22" s="58">
        <f t="shared" si="2"/>
        <v>2.8084093469646207</v>
      </c>
    </row>
    <row r="23" spans="1:31" s="82" customFormat="1" ht="12.75">
      <c r="A23" s="40" t="s">
        <v>640</v>
      </c>
      <c r="B23" s="403">
        <v>4.198152326534483</v>
      </c>
      <c r="C23" s="403"/>
      <c r="D23" s="403">
        <v>0</v>
      </c>
      <c r="E23" s="403"/>
      <c r="F23" s="403">
        <v>4.198152326534483</v>
      </c>
      <c r="G23" s="403"/>
      <c r="H23" s="403">
        <v>12</v>
      </c>
      <c r="I23" s="403"/>
      <c r="J23" s="403">
        <v>3.6943740473503452</v>
      </c>
      <c r="K23" s="403"/>
      <c r="L23" s="403">
        <v>0</v>
      </c>
      <c r="M23" s="403"/>
      <c r="N23" s="403">
        <v>8</v>
      </c>
      <c r="O23" s="403"/>
      <c r="P23" s="390">
        <f>(1/100)*19.04</f>
        <v>0.19039999999999999</v>
      </c>
      <c r="Q23" s="403"/>
      <c r="R23" s="403">
        <v>3.398824123562318</v>
      </c>
      <c r="S23" s="403"/>
      <c r="T23" s="100">
        <v>0.14898955062190983</v>
      </c>
      <c r="U23" s="100"/>
      <c r="V23" s="100">
        <v>4.223779265355832</v>
      </c>
      <c r="W23" s="403"/>
      <c r="X23" s="76">
        <v>9</v>
      </c>
      <c r="Y23" s="403"/>
      <c r="Z23" s="100">
        <v>0.7908815485415528</v>
      </c>
      <c r="AA23" s="100"/>
      <c r="AB23" s="76">
        <v>7.1179339368739765</v>
      </c>
      <c r="AC23" s="40"/>
      <c r="AD23" s="770">
        <f t="shared" si="3"/>
        <v>28.177495059288535</v>
      </c>
      <c r="AE23" s="58">
        <f t="shared" si="2"/>
        <v>5.308193539571385</v>
      </c>
    </row>
    <row r="24" spans="1:31" s="82" customFormat="1" ht="12.75">
      <c r="A24" s="40" t="s">
        <v>641</v>
      </c>
      <c r="B24" s="403">
        <v>2.5038895980938305</v>
      </c>
      <c r="C24" s="403"/>
      <c r="D24" s="403">
        <v>0</v>
      </c>
      <c r="E24" s="403"/>
      <c r="F24" s="403">
        <v>2.5038895980938305</v>
      </c>
      <c r="G24" s="403"/>
      <c r="H24" s="403">
        <v>12</v>
      </c>
      <c r="I24" s="403"/>
      <c r="J24" s="403">
        <v>2.2034228463225705</v>
      </c>
      <c r="K24" s="403"/>
      <c r="L24" s="403">
        <v>0</v>
      </c>
      <c r="M24" s="403"/>
      <c r="N24" s="403">
        <v>13</v>
      </c>
      <c r="O24" s="403"/>
      <c r="P24" s="390">
        <f>(1/100)*23.44</f>
        <v>0.23440000000000003</v>
      </c>
      <c r="Q24" s="403"/>
      <c r="R24" s="403">
        <v>1.9169778763006362</v>
      </c>
      <c r="S24" s="403"/>
      <c r="T24" s="100">
        <v>0.08403190690632927</v>
      </c>
      <c r="U24" s="100"/>
      <c r="V24" s="100">
        <v>2.382262544840981</v>
      </c>
      <c r="W24" s="403"/>
      <c r="X24" s="76">
        <v>9</v>
      </c>
      <c r="Y24" s="403"/>
      <c r="Z24" s="100">
        <v>0.7462103904958096</v>
      </c>
      <c r="AA24" s="100"/>
      <c r="AB24" s="76">
        <v>6.715893514462287</v>
      </c>
      <c r="AC24" s="40"/>
      <c r="AD24" s="770">
        <f t="shared" si="3"/>
        <v>29.796891327063744</v>
      </c>
      <c r="AE24" s="58">
        <f t="shared" si="2"/>
        <v>3.3554740459056784</v>
      </c>
    </row>
    <row r="25" spans="1:31" s="82" customFormat="1" ht="12.75">
      <c r="A25" s="40" t="s">
        <v>642</v>
      </c>
      <c r="B25" s="403">
        <v>0.41630024375469504</v>
      </c>
      <c r="C25" s="403"/>
      <c r="D25" s="403">
        <v>32.8</v>
      </c>
      <c r="E25" s="403"/>
      <c r="F25" s="403">
        <v>0.279753763803155</v>
      </c>
      <c r="G25" s="403"/>
      <c r="H25" s="403">
        <v>12</v>
      </c>
      <c r="I25" s="403"/>
      <c r="J25" s="403">
        <v>0.2461833121467764</v>
      </c>
      <c r="K25" s="403"/>
      <c r="L25" s="403">
        <v>0</v>
      </c>
      <c r="M25" s="403"/>
      <c r="N25" s="403">
        <v>51</v>
      </c>
      <c r="O25" s="403"/>
      <c r="P25" s="390">
        <f>(1/100)*71.02336</f>
        <v>0.7102336</v>
      </c>
      <c r="Q25" s="403"/>
      <c r="R25" s="403">
        <v>0.12062982295192044</v>
      </c>
      <c r="S25" s="403"/>
      <c r="T25" s="100">
        <v>0.0052878826499471974</v>
      </c>
      <c r="U25" s="100"/>
      <c r="V25" s="100">
        <v>0.14990882918467807</v>
      </c>
      <c r="W25" s="403"/>
      <c r="X25" s="76">
        <v>9</v>
      </c>
      <c r="Y25" s="403"/>
      <c r="Z25" s="100">
        <v>0.01121318042301392</v>
      </c>
      <c r="AA25" s="100"/>
      <c r="AB25" s="76">
        <v>0.10091862380712528</v>
      </c>
      <c r="AC25" s="40"/>
      <c r="AD25" s="770">
        <f t="shared" si="3"/>
        <v>78.727209227847</v>
      </c>
      <c r="AE25" s="58">
        <f t="shared" si="2"/>
        <v>37.12597390302227</v>
      </c>
    </row>
    <row r="26" spans="1:31" s="82" customFormat="1" ht="12.75">
      <c r="A26" s="158" t="s">
        <v>643</v>
      </c>
      <c r="B26" s="400">
        <v>15.159636506146722</v>
      </c>
      <c r="C26" s="400"/>
      <c r="D26" s="400"/>
      <c r="E26" s="400"/>
      <c r="F26" s="400">
        <v>15.023090026195183</v>
      </c>
      <c r="G26" s="400"/>
      <c r="H26" s="400"/>
      <c r="I26" s="400"/>
      <c r="J26" s="400">
        <v>13.220319223051764</v>
      </c>
      <c r="K26" s="400"/>
      <c r="L26" s="400"/>
      <c r="M26" s="400"/>
      <c r="N26" s="400"/>
      <c r="O26" s="400"/>
      <c r="P26" s="401">
        <f>(1/100)*23.0620365244558</f>
        <v>0.23062036524455798</v>
      </c>
      <c r="Q26" s="400"/>
      <c r="R26" s="400">
        <v>11.663610157979095</v>
      </c>
      <c r="S26" s="400"/>
      <c r="T26" s="402">
        <v>0.5112815411716862</v>
      </c>
      <c r="U26" s="402"/>
      <c r="V26" s="402">
        <v>14.494576051446723</v>
      </c>
      <c r="W26" s="400"/>
      <c r="X26" s="229">
        <v>9</v>
      </c>
      <c r="Y26" s="400"/>
      <c r="Z26" s="402">
        <v>3.0418598239889656</v>
      </c>
      <c r="AA26" s="402"/>
      <c r="AB26" s="229">
        <v>27.37673841590069</v>
      </c>
      <c r="AC26" s="158"/>
      <c r="AD26" s="202">
        <f t="shared" si="3"/>
        <v>29.650271495047342</v>
      </c>
      <c r="AE26" s="178">
        <f t="shared" si="2"/>
        <v>4.9836736021145835</v>
      </c>
    </row>
    <row r="27" spans="1:31" s="19" customFormat="1" ht="13.5" thickBot="1">
      <c r="A27" s="14"/>
      <c r="B27" s="272"/>
      <c r="C27" s="272"/>
      <c r="D27" s="272"/>
      <c r="E27" s="272"/>
      <c r="F27" s="272"/>
      <c r="G27" s="272"/>
      <c r="H27" s="272"/>
      <c r="I27" s="272"/>
      <c r="J27" s="272"/>
      <c r="K27" s="272"/>
      <c r="L27" s="272"/>
      <c r="M27" s="272"/>
      <c r="N27" s="272"/>
      <c r="O27" s="272"/>
      <c r="P27" s="184"/>
      <c r="Q27" s="272"/>
      <c r="R27" s="272"/>
      <c r="S27" s="272"/>
      <c r="T27" s="272"/>
      <c r="U27" s="272"/>
      <c r="V27" s="272"/>
      <c r="W27" s="272"/>
      <c r="X27" s="272"/>
      <c r="Y27" s="272"/>
      <c r="Z27" s="272"/>
      <c r="AA27" s="272"/>
      <c r="AB27" s="272"/>
      <c r="AC27" s="14"/>
      <c r="AE27" s="58"/>
    </row>
    <row r="28" spans="1:31" s="82" customFormat="1" ht="13.5" thickBot="1">
      <c r="A28" s="404" t="s">
        <v>644</v>
      </c>
      <c r="B28" s="405">
        <v>99.76542837328435</v>
      </c>
      <c r="C28" s="405"/>
      <c r="D28" s="405"/>
      <c r="E28" s="405"/>
      <c r="F28" s="405">
        <v>99.6288818933328</v>
      </c>
      <c r="G28" s="405"/>
      <c r="H28" s="405"/>
      <c r="I28" s="405"/>
      <c r="J28" s="405">
        <v>80.37137078924317</v>
      </c>
      <c r="K28" s="405"/>
      <c r="L28" s="405"/>
      <c r="M28" s="405"/>
      <c r="N28" s="405"/>
      <c r="O28" s="405"/>
      <c r="P28" s="406">
        <f>(1/100)*36.3464109241431</f>
        <v>0.363464109241431</v>
      </c>
      <c r="Q28" s="405"/>
      <c r="R28" s="405">
        <v>63.4866063274754</v>
      </c>
      <c r="S28" s="405"/>
      <c r="T28" s="405">
        <v>2.7829745239441275</v>
      </c>
      <c r="U28" s="405"/>
      <c r="V28" s="405">
        <v>78.89593626655403</v>
      </c>
      <c r="W28" s="405"/>
      <c r="X28" s="405"/>
      <c r="Y28" s="405"/>
      <c r="Z28" s="405">
        <v>65.48470364942378</v>
      </c>
      <c r="AA28" s="405"/>
      <c r="AB28" s="407">
        <v>589.3623328448141</v>
      </c>
      <c r="AC28" s="408"/>
      <c r="AD28" s="774"/>
      <c r="AE28" s="58"/>
    </row>
    <row r="29" spans="1:31" s="4" customFormat="1" ht="12.75">
      <c r="A29"/>
      <c r="B29"/>
      <c r="C29"/>
      <c r="D29"/>
      <c r="E29"/>
      <c r="F29"/>
      <c r="G29"/>
      <c r="H29"/>
      <c r="I29"/>
      <c r="J29"/>
      <c r="K29"/>
      <c r="L29"/>
      <c r="M29"/>
      <c r="N29"/>
      <c r="O29"/>
      <c r="P29"/>
      <c r="Q29"/>
      <c r="R29"/>
      <c r="S29"/>
      <c r="T29"/>
      <c r="U29"/>
      <c r="V29"/>
      <c r="W29"/>
      <c r="X29"/>
      <c r="Y29"/>
      <c r="Z29"/>
      <c r="AA29"/>
      <c r="AB29"/>
      <c r="AC29"/>
      <c r="AE29" s="58"/>
    </row>
  </sheetData>
  <sheetProtection/>
  <mergeCells count="29">
    <mergeCell ref="AD3:AE6"/>
    <mergeCell ref="Z7:AA7"/>
    <mergeCell ref="AB7:AC7"/>
    <mergeCell ref="N7:O7"/>
    <mergeCell ref="P7:Q7"/>
    <mergeCell ref="R7:S7"/>
    <mergeCell ref="T7:U7"/>
    <mergeCell ref="V7:W7"/>
    <mergeCell ref="X7:Y7"/>
    <mergeCell ref="L3:O3"/>
    <mergeCell ref="B7:C7"/>
    <mergeCell ref="D7:E7"/>
    <mergeCell ref="F7:G7"/>
    <mergeCell ref="H7:I7"/>
    <mergeCell ref="J7:K7"/>
    <mergeCell ref="L7:M7"/>
    <mergeCell ref="P3:Q6"/>
    <mergeCell ref="R3:W6"/>
    <mergeCell ref="X3:Y6"/>
    <mergeCell ref="Z3:AA6"/>
    <mergeCell ref="AB3:AC6"/>
    <mergeCell ref="L4:M6"/>
    <mergeCell ref="N4:O6"/>
    <mergeCell ref="A3:A6"/>
    <mergeCell ref="B3:C6"/>
    <mergeCell ref="D3:E6"/>
    <mergeCell ref="F3:G6"/>
    <mergeCell ref="H3:I6"/>
    <mergeCell ref="J3:K6"/>
  </mergeCells>
  <printOptions/>
  <pageMargins left="0.7" right="0.7" top="0.75" bottom="0.75" header="0.3" footer="0.3"/>
  <pageSetup orientation="portrait" paperSize="9"/>
  <legacyDrawing r:id="rId2"/>
</worksheet>
</file>

<file path=xl/worksheets/sheet27.xml><?xml version="1.0" encoding="utf-8"?>
<worksheet xmlns="http://schemas.openxmlformats.org/spreadsheetml/2006/main" xmlns:r="http://schemas.openxmlformats.org/officeDocument/2006/relationships">
  <dimension ref="A1:I14"/>
  <sheetViews>
    <sheetView zoomScalePageLayoutView="0" workbookViewId="0" topLeftCell="A1">
      <selection activeCell="D32" sqref="D32"/>
    </sheetView>
  </sheetViews>
  <sheetFormatPr defaultColWidth="8.8515625" defaultRowHeight="12.75"/>
  <cols>
    <col min="1" max="1" width="8.8515625" style="0" customWidth="1"/>
    <col min="2" max="6" width="11.421875" style="0" bestFit="1" customWidth="1"/>
  </cols>
  <sheetData>
    <row r="1" ht="18">
      <c r="A1" s="301" t="s">
        <v>1101</v>
      </c>
    </row>
    <row r="2" s="14" customFormat="1" ht="12.75"/>
    <row r="3" s="14" customFormat="1" ht="12.75"/>
    <row r="4" spans="1:7" s="14" customFormat="1" ht="12.75" customHeight="1">
      <c r="A4" s="8"/>
      <c r="B4" s="1249" t="s">
        <v>119</v>
      </c>
      <c r="C4" s="1249"/>
      <c r="D4" s="1249"/>
      <c r="E4" s="1249"/>
      <c r="F4" s="1249"/>
      <c r="G4" s="1249"/>
    </row>
    <row r="5" spans="2:7" ht="12.75">
      <c r="B5" s="66">
        <v>2008</v>
      </c>
      <c r="C5" s="66">
        <v>2009</v>
      </c>
      <c r="D5" s="66">
        <v>2010</v>
      </c>
      <c r="E5" s="66">
        <v>2011</v>
      </c>
      <c r="F5" s="66">
        <v>2012</v>
      </c>
      <c r="G5" s="1034" t="s">
        <v>1060</v>
      </c>
    </row>
    <row r="6" spans="2:9" ht="12.75">
      <c r="B6" s="1034" t="s">
        <v>99</v>
      </c>
      <c r="C6" s="1034" t="s">
        <v>99</v>
      </c>
      <c r="D6" s="1034" t="s">
        <v>99</v>
      </c>
      <c r="E6" s="1034" t="s">
        <v>99</v>
      </c>
      <c r="F6" s="1034" t="s">
        <v>99</v>
      </c>
      <c r="G6" s="1034" t="s">
        <v>99</v>
      </c>
      <c r="I6" s="198" t="s">
        <v>1036</v>
      </c>
    </row>
    <row r="7" spans="1:9" ht="12.75">
      <c r="A7" t="s">
        <v>1100</v>
      </c>
      <c r="B7" s="15">
        <f>60*39.7</f>
        <v>2382</v>
      </c>
      <c r="C7" s="15">
        <f>60*44</f>
        <v>2640</v>
      </c>
      <c r="D7" s="15">
        <f>60*43.5</f>
        <v>2610</v>
      </c>
      <c r="E7" s="15">
        <f>60*41.9</f>
        <v>2514</v>
      </c>
      <c r="F7" s="15">
        <f>60*39.8</f>
        <v>2388</v>
      </c>
      <c r="G7" s="118">
        <f>AVERAGE(B7:F7)</f>
        <v>2506.8</v>
      </c>
      <c r="I7" t="s">
        <v>1102</v>
      </c>
    </row>
    <row r="8" spans="1:9" ht="12.75">
      <c r="A8" t="s">
        <v>392</v>
      </c>
      <c r="B8" s="15">
        <v>1461</v>
      </c>
      <c r="C8" s="15">
        <v>1811</v>
      </c>
      <c r="D8" s="15">
        <v>1713</v>
      </c>
      <c r="E8" s="15">
        <v>1475</v>
      </c>
      <c r="F8" s="15">
        <v>1416</v>
      </c>
      <c r="G8" s="118">
        <f>AVERAGE(B8:F8)</f>
        <v>1575.2</v>
      </c>
      <c r="I8" t="s">
        <v>1102</v>
      </c>
    </row>
    <row r="10" spans="2:3" ht="12.75">
      <c r="B10" s="14"/>
      <c r="C10" s="14"/>
    </row>
    <row r="13" spans="2:3" ht="12.75">
      <c r="B13" s="14"/>
      <c r="C13" s="14"/>
    </row>
    <row r="14" ht="12.75">
      <c r="C14" s="14"/>
    </row>
  </sheetData>
  <sheetProtection/>
  <mergeCells count="1">
    <mergeCell ref="B4:G4"/>
  </mergeCells>
  <printOption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dimension ref="A1:T23"/>
  <sheetViews>
    <sheetView zoomScalePageLayoutView="0" workbookViewId="0" topLeftCell="A1">
      <selection activeCell="E18" sqref="E18"/>
    </sheetView>
  </sheetViews>
  <sheetFormatPr defaultColWidth="8.8515625" defaultRowHeight="12.75"/>
  <cols>
    <col min="1" max="1" width="18.28125" style="27" customWidth="1"/>
    <col min="2" max="2" width="9.8515625" style="27" bestFit="1" customWidth="1"/>
    <col min="3" max="3" width="7.140625" style="27" bestFit="1" customWidth="1"/>
    <col min="4" max="4" width="5.421875" style="27" bestFit="1" customWidth="1"/>
    <col min="5" max="5" width="7.00390625" style="27" bestFit="1" customWidth="1"/>
    <col min="6" max="6" width="7.140625" style="27" bestFit="1" customWidth="1"/>
    <col min="7" max="7" width="5.421875" style="27" bestFit="1" customWidth="1"/>
    <col min="8" max="8" width="5.00390625" style="27" bestFit="1" customWidth="1"/>
    <col min="9" max="9" width="9.421875" style="27" customWidth="1"/>
    <col min="10" max="10" width="13.7109375" style="27" customWidth="1"/>
    <col min="11" max="11" width="8.8515625" style="27" customWidth="1"/>
    <col min="12" max="12" width="16.00390625" style="27" bestFit="1" customWidth="1"/>
    <col min="13" max="13" width="10.421875" style="27" customWidth="1"/>
    <col min="14" max="14" width="11.8515625" style="27" customWidth="1"/>
    <col min="15" max="15" width="11.140625" style="27" bestFit="1" customWidth="1"/>
    <col min="16" max="16" width="2.00390625" style="27" bestFit="1" customWidth="1"/>
    <col min="17" max="17" width="12.421875" style="27" customWidth="1"/>
    <col min="18" max="18" width="13.00390625" style="27" customWidth="1"/>
    <col min="19" max="19" width="14.00390625" style="27" bestFit="1" customWidth="1"/>
    <col min="20" max="16384" width="8.8515625" style="27" customWidth="1"/>
  </cols>
  <sheetData>
    <row r="1" spans="1:4" ht="15.75">
      <c r="A1" s="1143" t="s">
        <v>121</v>
      </c>
      <c r="B1" s="961"/>
      <c r="C1" s="961"/>
      <c r="D1" s="961"/>
    </row>
    <row r="2" spans="1:4" ht="12.75">
      <c r="A2" s="40" t="s">
        <v>808</v>
      </c>
      <c r="B2" s="40"/>
      <c r="C2" s="40"/>
      <c r="D2" s="40"/>
    </row>
    <row r="3" spans="1:4" ht="12.75">
      <c r="A3" s="40"/>
      <c r="B3" s="40"/>
      <c r="C3" s="40"/>
      <c r="D3" s="40"/>
    </row>
    <row r="4" spans="1:4" ht="12.75">
      <c r="A4" s="40" t="s">
        <v>122</v>
      </c>
      <c r="B4" s="1144">
        <v>17000000</v>
      </c>
      <c r="D4" s="40"/>
    </row>
    <row r="5" ht="12.75"/>
    <row r="6" spans="2:14" ht="12.75">
      <c r="B6" s="1331" t="s">
        <v>661</v>
      </c>
      <c r="C6" s="1331"/>
      <c r="D6" s="1331"/>
      <c r="E6" s="1331">
        <v>2060</v>
      </c>
      <c r="F6" s="1331"/>
      <c r="G6" s="1331"/>
      <c r="H6" s="1331"/>
      <c r="I6" s="1331"/>
      <c r="J6" s="1331"/>
      <c r="K6" s="1331"/>
      <c r="L6" s="1331"/>
      <c r="M6" s="1331"/>
      <c r="N6" s="1336" t="s">
        <v>664</v>
      </c>
    </row>
    <row r="7" spans="2:14" s="1145" customFormat="1" ht="24.75" customHeight="1">
      <c r="B7" s="1337" t="s">
        <v>351</v>
      </c>
      <c r="C7" s="1339"/>
      <c r="D7" s="1338"/>
      <c r="E7" s="1337" t="s">
        <v>351</v>
      </c>
      <c r="F7" s="1339"/>
      <c r="G7" s="1338"/>
      <c r="H7" s="435" t="s">
        <v>52</v>
      </c>
      <c r="I7" s="1337" t="s">
        <v>97</v>
      </c>
      <c r="J7" s="1338"/>
      <c r="K7" s="435" t="s">
        <v>352</v>
      </c>
      <c r="L7" s="1237" t="s">
        <v>353</v>
      </c>
      <c r="M7" s="1237"/>
      <c r="N7" s="1336"/>
    </row>
    <row r="8" spans="2:14" ht="12.75">
      <c r="B8" s="160" t="s">
        <v>262</v>
      </c>
      <c r="C8" s="160" t="s">
        <v>354</v>
      </c>
      <c r="D8" s="160" t="s">
        <v>35</v>
      </c>
      <c r="E8" s="160" t="s">
        <v>262</v>
      </c>
      <c r="F8" s="160" t="s">
        <v>354</v>
      </c>
      <c r="G8" s="160" t="s">
        <v>35</v>
      </c>
      <c r="H8" s="160" t="s">
        <v>41</v>
      </c>
      <c r="I8" s="160" t="s">
        <v>387</v>
      </c>
      <c r="J8" s="160" t="s">
        <v>35</v>
      </c>
      <c r="K8" s="160" t="s">
        <v>99</v>
      </c>
      <c r="L8" s="160" t="s">
        <v>355</v>
      </c>
      <c r="M8" s="160" t="s">
        <v>191</v>
      </c>
      <c r="N8" s="160" t="s">
        <v>41</v>
      </c>
    </row>
    <row r="9" spans="1:17" ht="12.75">
      <c r="A9" s="40" t="s">
        <v>356</v>
      </c>
      <c r="B9" s="1146">
        <v>3.392190138983923</v>
      </c>
      <c r="C9" s="1147">
        <v>0.21201188368649518</v>
      </c>
      <c r="D9" s="1147">
        <v>0.7165342812293805</v>
      </c>
      <c r="E9" s="1148">
        <f>F9*21</f>
        <v>22.26124778708199</v>
      </c>
      <c r="F9" s="1149">
        <f>C9*5</f>
        <v>1.0600594184324759</v>
      </c>
      <c r="G9" s="1149">
        <f>D9*5</f>
        <v>3.5826714061469023</v>
      </c>
      <c r="H9" s="1150">
        <f>SugarsCurrent!P11</f>
        <v>0.24350000000000002</v>
      </c>
      <c r="I9" s="1146">
        <f>G9/(1-H9)</f>
        <v>4.735851164767881</v>
      </c>
      <c r="J9" s="1151">
        <f>I9*17000000</f>
        <v>80509469.80105399</v>
      </c>
      <c r="K9" s="1152" t="s">
        <v>88</v>
      </c>
      <c r="L9" s="1332" t="s">
        <v>667</v>
      </c>
      <c r="M9" s="1333"/>
      <c r="N9" s="1153">
        <f>(E9/B9)-1</f>
        <v>5.562499999999999</v>
      </c>
      <c r="O9" s="40" t="s">
        <v>553</v>
      </c>
      <c r="P9" s="27">
        <v>5</v>
      </c>
      <c r="Q9" s="27" t="s">
        <v>380</v>
      </c>
    </row>
    <row r="10" spans="1:17" ht="12.75">
      <c r="A10" s="40" t="s">
        <v>375</v>
      </c>
      <c r="B10" s="1320">
        <v>1.4991433254468358</v>
      </c>
      <c r="C10" s="1324">
        <v>0.09369645784042724</v>
      </c>
      <c r="D10" s="1324">
        <v>0.3166649100278995</v>
      </c>
      <c r="E10" s="1154">
        <f>F10*18</f>
        <v>1.9574140142465752</v>
      </c>
      <c r="F10" s="1155">
        <f>G10*(768/11)/365</f>
        <v>0.10874522301369863</v>
      </c>
      <c r="G10" s="1156">
        <f>I10*(1-H10)</f>
        <v>0.5685053</v>
      </c>
      <c r="H10" s="1157">
        <f>SugarsCurrent!P10</f>
        <v>0.24350000000000002</v>
      </c>
      <c r="I10" s="1158">
        <f>J10/17000000</f>
        <v>0.7514941176470589</v>
      </c>
      <c r="J10" s="459">
        <f>1161400*11</f>
        <v>12775400</v>
      </c>
      <c r="K10" s="1159" t="s">
        <v>88</v>
      </c>
      <c r="L10" s="1334" t="s">
        <v>668</v>
      </c>
      <c r="M10" s="1335"/>
      <c r="N10" s="1323">
        <f>(E10/B10)-1</f>
        <v>0.30568837616853406</v>
      </c>
      <c r="O10" s="40" t="s">
        <v>554</v>
      </c>
      <c r="Q10" s="40"/>
    </row>
    <row r="11" spans="1:14" ht="12.75">
      <c r="A11" s="40" t="s">
        <v>552</v>
      </c>
      <c r="B11" s="1320"/>
      <c r="C11" s="1324"/>
      <c r="D11" s="1324"/>
      <c r="E11" s="1159" t="s">
        <v>88</v>
      </c>
      <c r="F11" s="1161" t="s">
        <v>88</v>
      </c>
      <c r="G11" s="1161" t="s">
        <v>88</v>
      </c>
      <c r="H11" s="840">
        <f>SugarsCurrent!P10</f>
        <v>0.24350000000000002</v>
      </c>
      <c r="I11" s="1159" t="s">
        <v>88</v>
      </c>
      <c r="J11" s="1161" t="s">
        <v>88</v>
      </c>
      <c r="K11" s="1159" t="s">
        <v>88</v>
      </c>
      <c r="L11" s="1159" t="s">
        <v>88</v>
      </c>
      <c r="M11" s="1160"/>
      <c r="N11" s="1323"/>
    </row>
    <row r="12" spans="1:17" ht="12.75">
      <c r="A12" s="40" t="s">
        <v>551</v>
      </c>
      <c r="B12" s="1320">
        <v>212.26792531997208</v>
      </c>
      <c r="C12" s="1321">
        <v>13.266745332498255</v>
      </c>
      <c r="D12" s="1322">
        <v>44.837476398877904</v>
      </c>
      <c r="E12" s="1328">
        <v>155.768</v>
      </c>
      <c r="F12" s="1329">
        <f>E12/16</f>
        <v>9.7355</v>
      </c>
      <c r="G12" s="1330">
        <f>F12*(D12/C12)</f>
        <v>32.902964558457825</v>
      </c>
      <c r="H12" s="1157">
        <f>SugarsCurrent!P8</f>
        <v>0.41259999999999997</v>
      </c>
      <c r="I12" s="1327">
        <f>G12/(1-H12)</f>
        <v>56.01458045362244</v>
      </c>
      <c r="J12" s="1326">
        <f>I12*17000000</f>
        <v>952247867.7115816</v>
      </c>
      <c r="K12" s="1162">
        <f>SugarY!I5</f>
        <v>8206.60144011941</v>
      </c>
      <c r="L12" s="1325">
        <f>J12/AVERAGE(K12:K13)</f>
        <v>113614.54441812084</v>
      </c>
      <c r="M12" s="1326">
        <f>L12/1000</f>
        <v>113.61454441812084</v>
      </c>
      <c r="N12" s="1323">
        <f>(E12/B12)-1</f>
        <v>-0.2661726930001518</v>
      </c>
      <c r="Q12" s="18"/>
    </row>
    <row r="13" spans="1:14" s="1044" customFormat="1" ht="12.75">
      <c r="A13" s="1044" t="s">
        <v>378</v>
      </c>
      <c r="B13" s="1320"/>
      <c r="C13" s="1321"/>
      <c r="D13" s="1322"/>
      <c r="E13" s="1328"/>
      <c r="F13" s="1329"/>
      <c r="G13" s="1330"/>
      <c r="H13" s="1163">
        <f>SugarsCurrent!P8</f>
        <v>0.41259999999999997</v>
      </c>
      <c r="I13" s="1327"/>
      <c r="J13" s="1326"/>
      <c r="K13" s="1164">
        <f>SugarY!I6</f>
        <v>8556.17963845707</v>
      </c>
      <c r="L13" s="1325"/>
      <c r="M13" s="1326"/>
      <c r="N13" s="1323"/>
    </row>
    <row r="14" spans="1:17" ht="12.75">
      <c r="A14" s="40" t="s">
        <v>379</v>
      </c>
      <c r="B14" s="1165">
        <v>251.90836348183066</v>
      </c>
      <c r="C14" s="1166">
        <v>15.744272717614416</v>
      </c>
      <c r="D14" s="1166">
        <v>53.21074903460137</v>
      </c>
      <c r="E14" s="1167" t="s">
        <v>88</v>
      </c>
      <c r="F14" s="1168" t="s">
        <v>88</v>
      </c>
      <c r="G14" s="1168" t="s">
        <v>88</v>
      </c>
      <c r="H14" s="1169">
        <f>SugarsCurrent!P14</f>
        <v>0.41259999999999997</v>
      </c>
      <c r="I14" s="1170" t="s">
        <v>88</v>
      </c>
      <c r="J14" s="1168" t="s">
        <v>88</v>
      </c>
      <c r="K14" s="1171">
        <v>5028.54</v>
      </c>
      <c r="L14" s="1171">
        <f>J12/K14</f>
        <v>189368.65724675186</v>
      </c>
      <c r="M14" s="1172"/>
      <c r="N14" s="842" t="s">
        <v>982</v>
      </c>
      <c r="Q14" s="18"/>
    </row>
    <row r="15" spans="1:15" ht="12.75">
      <c r="A15" s="40" t="s">
        <v>63</v>
      </c>
      <c r="B15" s="730">
        <f>SUM(B9:B14)</f>
        <v>469.06762226623346</v>
      </c>
      <c r="C15" s="1173">
        <f aca="true" t="shared" si="0" ref="C15:J15">SUM(C9:C14)</f>
        <v>29.31672639163959</v>
      </c>
      <c r="D15" s="1173">
        <f t="shared" si="0"/>
        <v>99.08142462473656</v>
      </c>
      <c r="E15" s="730">
        <f>SUM(E9:E14)</f>
        <v>179.98666180132858</v>
      </c>
      <c r="F15" s="1173">
        <f t="shared" si="0"/>
        <v>10.904304641446174</v>
      </c>
      <c r="G15" s="1173">
        <f t="shared" si="0"/>
        <v>37.05414126460472</v>
      </c>
      <c r="H15" s="1174"/>
      <c r="I15" s="730">
        <f t="shared" si="0"/>
        <v>61.501925736037386</v>
      </c>
      <c r="J15" s="1175">
        <f t="shared" si="0"/>
        <v>1045532737.5126356</v>
      </c>
      <c r="K15" s="1174"/>
      <c r="L15" s="730"/>
      <c r="M15" s="1176"/>
      <c r="N15" s="1177">
        <f>(E15/B15)-1</f>
        <v>-0.6162884555285469</v>
      </c>
      <c r="O15" s="1178"/>
    </row>
    <row r="16" spans="17:20" ht="12.75">
      <c r="Q16" s="18"/>
      <c r="R16" s="18"/>
      <c r="S16" s="18"/>
      <c r="T16" s="18"/>
    </row>
    <row r="17" spans="10:20" ht="12.75">
      <c r="J17" s="1179"/>
      <c r="Q17" s="18"/>
      <c r="R17" s="18"/>
      <c r="S17" s="18"/>
      <c r="T17" s="18"/>
    </row>
    <row r="18" spans="5:20" ht="12.75">
      <c r="E18" s="1180"/>
      <c r="J18" s="1179"/>
      <c r="Q18" s="18"/>
      <c r="R18" s="18"/>
      <c r="S18" s="18"/>
      <c r="T18" s="18"/>
    </row>
    <row r="19" spans="17:20" ht="12.75">
      <c r="Q19" s="958"/>
      <c r="R19" s="18"/>
      <c r="S19" s="18"/>
      <c r="T19" s="18"/>
    </row>
    <row r="20" spans="17:20" ht="12.75">
      <c r="Q20" s="1181"/>
      <c r="R20" s="76"/>
      <c r="S20" s="958"/>
      <c r="T20" s="18"/>
    </row>
    <row r="21" spans="17:20" ht="12.75">
      <c r="Q21" s="18"/>
      <c r="R21" s="18"/>
      <c r="S21" s="18"/>
      <c r="T21" s="18"/>
    </row>
    <row r="22" spans="17:20" ht="12.75">
      <c r="Q22" s="18"/>
      <c r="R22" s="18"/>
      <c r="S22" s="18"/>
      <c r="T22" s="18"/>
    </row>
    <row r="23" spans="17:20" ht="12.75">
      <c r="Q23" s="18"/>
      <c r="R23" s="18"/>
      <c r="S23" s="18"/>
      <c r="T23" s="18"/>
    </row>
  </sheetData>
  <sheetProtection/>
  <mergeCells count="24">
    <mergeCell ref="N6:N7"/>
    <mergeCell ref="B6:D6"/>
    <mergeCell ref="I7:J7"/>
    <mergeCell ref="B7:D7"/>
    <mergeCell ref="E7:G7"/>
    <mergeCell ref="N10:N11"/>
    <mergeCell ref="I12:I13"/>
    <mergeCell ref="E12:E13"/>
    <mergeCell ref="F12:F13"/>
    <mergeCell ref="G12:G13"/>
    <mergeCell ref="L7:M7"/>
    <mergeCell ref="E6:M6"/>
    <mergeCell ref="L9:M9"/>
    <mergeCell ref="L10:M10"/>
    <mergeCell ref="B12:B13"/>
    <mergeCell ref="C12:C13"/>
    <mergeCell ref="D12:D13"/>
    <mergeCell ref="N12:N13"/>
    <mergeCell ref="D10:D11"/>
    <mergeCell ref="C10:C11"/>
    <mergeCell ref="B10:B11"/>
    <mergeCell ref="L12:L13"/>
    <mergeCell ref="M12:M13"/>
    <mergeCell ref="J12:J13"/>
  </mergeCells>
  <printOptions/>
  <pageMargins left="0.7" right="0.7" top="0.75" bottom="0.75" header="0.3" footer="0.3"/>
  <pageSetup orientation="portrait" paperSize="9"/>
  <legacyDrawing r:id="rId2"/>
</worksheet>
</file>

<file path=xl/worksheets/sheet29.xml><?xml version="1.0" encoding="utf-8"?>
<worksheet xmlns="http://schemas.openxmlformats.org/spreadsheetml/2006/main" xmlns:r="http://schemas.openxmlformats.org/officeDocument/2006/relationships">
  <dimension ref="A1:AE20"/>
  <sheetViews>
    <sheetView zoomScalePageLayoutView="0" workbookViewId="0" topLeftCell="A1">
      <selection activeCell="B17" sqref="B17"/>
    </sheetView>
  </sheetViews>
  <sheetFormatPr defaultColWidth="8.8515625" defaultRowHeight="12.75"/>
  <cols>
    <col min="1" max="1" width="25.28125" style="0" customWidth="1"/>
    <col min="2" max="2" width="8.8515625" style="0" customWidth="1"/>
    <col min="3" max="3" width="1.1484375" style="0" hidden="1" customWidth="1"/>
    <col min="4" max="4" width="0" style="0" hidden="1" customWidth="1"/>
    <col min="5" max="5" width="1.1484375" style="0" hidden="1" customWidth="1"/>
    <col min="6" max="6" width="0" style="0" hidden="1" customWidth="1"/>
    <col min="7" max="7" width="1.1484375" style="0" hidden="1" customWidth="1"/>
    <col min="8" max="8" width="0" style="0" hidden="1" customWidth="1"/>
    <col min="9" max="9" width="1.1484375" style="0" hidden="1" customWidth="1"/>
    <col min="10" max="10" width="0" style="0" hidden="1" customWidth="1"/>
    <col min="11" max="11" width="1.1484375" style="0" hidden="1" customWidth="1"/>
    <col min="12" max="12" width="0" style="0" hidden="1" customWidth="1"/>
    <col min="13" max="13" width="1.1484375" style="0" hidden="1" customWidth="1"/>
    <col min="14" max="14" width="0" style="0" hidden="1" customWidth="1"/>
    <col min="15" max="15" width="1.1484375" style="0" hidden="1" customWidth="1"/>
    <col min="16" max="16" width="8.8515625" style="0" customWidth="1"/>
    <col min="17" max="17" width="1.1484375" style="0" hidden="1" customWidth="1"/>
    <col min="18" max="18" width="8.8515625" style="0" customWidth="1"/>
    <col min="19" max="19" width="1.1484375" style="0" hidden="1" customWidth="1"/>
    <col min="20" max="20" width="8.8515625" style="0" customWidth="1"/>
    <col min="21" max="21" width="1.1484375" style="0" hidden="1" customWidth="1"/>
    <col min="22" max="22" width="8.8515625" style="0" customWidth="1"/>
    <col min="23" max="23" width="1.1484375" style="0" customWidth="1"/>
    <col min="24" max="24" width="9.140625" style="0" customWidth="1"/>
    <col min="25" max="25" width="1.1484375" style="0" customWidth="1"/>
    <col min="26" max="26" width="9.140625" style="0" customWidth="1"/>
    <col min="27" max="27" width="1.1484375" style="0" customWidth="1"/>
    <col min="28" max="28" width="8.8515625" style="0" customWidth="1"/>
    <col min="29" max="29" width="1.1484375" style="0" hidden="1" customWidth="1"/>
    <col min="30" max="30" width="8.8515625" style="0" customWidth="1"/>
    <col min="31" max="31" width="1.1484375" style="0" hidden="1" customWidth="1"/>
  </cols>
  <sheetData>
    <row r="1" ht="18">
      <c r="A1" s="301" t="s">
        <v>645</v>
      </c>
    </row>
    <row r="3" spans="1:31" s="14" customFormat="1" ht="12" customHeight="1">
      <c r="A3" s="1275"/>
      <c r="B3" s="1293" t="s">
        <v>475</v>
      </c>
      <c r="C3" s="1275"/>
      <c r="D3" s="1274" t="s">
        <v>125</v>
      </c>
      <c r="E3" s="1275"/>
      <c r="F3" s="1293" t="s">
        <v>126</v>
      </c>
      <c r="G3" s="1275"/>
      <c r="H3" s="1293" t="s">
        <v>127</v>
      </c>
      <c r="I3" s="1275"/>
      <c r="J3" s="1293" t="s">
        <v>128</v>
      </c>
      <c r="K3" s="1275"/>
      <c r="L3" s="1311" t="s">
        <v>129</v>
      </c>
      <c r="M3" s="1312"/>
      <c r="N3" s="1312"/>
      <c r="O3" s="1313"/>
      <c r="P3" s="1293" t="s">
        <v>130</v>
      </c>
      <c r="Q3" s="1275"/>
      <c r="R3" s="1274" t="s">
        <v>131</v>
      </c>
      <c r="S3" s="1294"/>
      <c r="T3" s="1294"/>
      <c r="U3" s="1294"/>
      <c r="V3" s="1294"/>
      <c r="W3" s="1275"/>
      <c r="X3" s="1293" t="s">
        <v>646</v>
      </c>
      <c r="Y3" s="1275"/>
      <c r="Z3" s="1293" t="s">
        <v>647</v>
      </c>
      <c r="AA3" s="1275"/>
      <c r="AB3" s="1274" t="s">
        <v>476</v>
      </c>
      <c r="AC3" s="1275"/>
      <c r="AD3" s="1274" t="s">
        <v>648</v>
      </c>
      <c r="AE3" s="1294"/>
    </row>
    <row r="4" spans="1:31" s="14" customFormat="1" ht="12" customHeight="1">
      <c r="A4" s="1277"/>
      <c r="B4" s="1276"/>
      <c r="C4" s="1277"/>
      <c r="D4" s="1276"/>
      <c r="E4" s="1277"/>
      <c r="F4" s="1276"/>
      <c r="G4" s="1277"/>
      <c r="H4" s="1276"/>
      <c r="I4" s="1277"/>
      <c r="J4" s="1276"/>
      <c r="K4" s="1277"/>
      <c r="L4" s="1293" t="s">
        <v>133</v>
      </c>
      <c r="M4" s="1275"/>
      <c r="N4" s="1293" t="s">
        <v>134</v>
      </c>
      <c r="O4" s="1275"/>
      <c r="P4" s="1276"/>
      <c r="Q4" s="1277"/>
      <c r="R4" s="1276"/>
      <c r="S4" s="1295"/>
      <c r="T4" s="1295"/>
      <c r="U4" s="1295"/>
      <c r="V4" s="1295"/>
      <c r="W4" s="1277"/>
      <c r="X4" s="1276"/>
      <c r="Y4" s="1277"/>
      <c r="Z4" s="1276"/>
      <c r="AA4" s="1277"/>
      <c r="AB4" s="1276"/>
      <c r="AC4" s="1277"/>
      <c r="AD4" s="1276"/>
      <c r="AE4" s="1295"/>
    </row>
    <row r="5" spans="1:31" s="14" customFormat="1" ht="15.75" customHeight="1">
      <c r="A5" s="1277"/>
      <c r="B5" s="1276"/>
      <c r="C5" s="1277"/>
      <c r="D5" s="1276"/>
      <c r="E5" s="1277"/>
      <c r="F5" s="1276"/>
      <c r="G5" s="1277"/>
      <c r="H5" s="1276"/>
      <c r="I5" s="1277"/>
      <c r="J5" s="1276"/>
      <c r="K5" s="1277"/>
      <c r="L5" s="1276"/>
      <c r="M5" s="1277"/>
      <c r="N5" s="1276"/>
      <c r="O5" s="1277"/>
      <c r="P5" s="1276"/>
      <c r="Q5" s="1277"/>
      <c r="R5" s="1276"/>
      <c r="S5" s="1295"/>
      <c r="T5" s="1295"/>
      <c r="U5" s="1295"/>
      <c r="V5" s="1295"/>
      <c r="W5" s="1277"/>
      <c r="X5" s="1276"/>
      <c r="Y5" s="1277"/>
      <c r="Z5" s="1276"/>
      <c r="AA5" s="1277"/>
      <c r="AB5" s="1276"/>
      <c r="AC5" s="1277"/>
      <c r="AD5" s="1276"/>
      <c r="AE5" s="1295"/>
    </row>
    <row r="6" spans="1:31" s="14" customFormat="1" ht="14.25" customHeight="1">
      <c r="A6" s="1279"/>
      <c r="B6" s="1278"/>
      <c r="C6" s="1279"/>
      <c r="D6" s="1278"/>
      <c r="E6" s="1279"/>
      <c r="F6" s="1278"/>
      <c r="G6" s="1279"/>
      <c r="H6" s="1278"/>
      <c r="I6" s="1279"/>
      <c r="J6" s="1278"/>
      <c r="K6" s="1279"/>
      <c r="L6" s="1278"/>
      <c r="M6" s="1279"/>
      <c r="N6" s="1278"/>
      <c r="O6" s="1279"/>
      <c r="P6" s="1278"/>
      <c r="Q6" s="1279"/>
      <c r="R6" s="1278"/>
      <c r="S6" s="1296"/>
      <c r="T6" s="1296"/>
      <c r="U6" s="1296"/>
      <c r="V6" s="1296"/>
      <c r="W6" s="1279"/>
      <c r="X6" s="1278"/>
      <c r="Y6" s="1279"/>
      <c r="Z6" s="1278"/>
      <c r="AA6" s="1279"/>
      <c r="AB6" s="1278"/>
      <c r="AC6" s="1279"/>
      <c r="AD6" s="1278"/>
      <c r="AE6" s="1296"/>
    </row>
    <row r="7" spans="1:31" s="14" customFormat="1" ht="12" customHeight="1">
      <c r="A7" s="377"/>
      <c r="B7" s="1295" t="s">
        <v>477</v>
      </c>
      <c r="C7" s="1295"/>
      <c r="D7" s="1295" t="s">
        <v>478</v>
      </c>
      <c r="E7" s="1295"/>
      <c r="F7" s="1295" t="s">
        <v>477</v>
      </c>
      <c r="G7" s="1295"/>
      <c r="H7" s="1295" t="s">
        <v>478</v>
      </c>
      <c r="I7" s="1295"/>
      <c r="J7" s="1295" t="s">
        <v>477</v>
      </c>
      <c r="K7" s="1295"/>
      <c r="L7" s="1295" t="s">
        <v>478</v>
      </c>
      <c r="M7" s="1295"/>
      <c r="N7" s="1295" t="s">
        <v>478</v>
      </c>
      <c r="O7" s="1295"/>
      <c r="P7" s="1295" t="s">
        <v>478</v>
      </c>
      <c r="Q7" s="1295"/>
      <c r="R7" s="1295" t="s">
        <v>477</v>
      </c>
      <c r="S7" s="1295"/>
      <c r="T7" s="1295" t="s">
        <v>66</v>
      </c>
      <c r="U7" s="1295"/>
      <c r="V7" s="1295" t="s">
        <v>479</v>
      </c>
      <c r="W7" s="1295"/>
      <c r="X7" s="1295" t="s">
        <v>480</v>
      </c>
      <c r="Y7" s="1295"/>
      <c r="Z7" s="1295" t="s">
        <v>135</v>
      </c>
      <c r="AA7" s="1295"/>
      <c r="AB7" s="1295" t="s">
        <v>480</v>
      </c>
      <c r="AC7" s="1295"/>
      <c r="AD7" s="1295" t="s">
        <v>649</v>
      </c>
      <c r="AE7" s="1295"/>
    </row>
    <row r="8" spans="1:30" s="40" customFormat="1" ht="12.75">
      <c r="A8" s="40" t="s">
        <v>650</v>
      </c>
      <c r="B8" s="409">
        <v>63.489868948266384</v>
      </c>
      <c r="C8" s="410"/>
      <c r="D8" s="410">
        <v>0</v>
      </c>
      <c r="E8" s="410"/>
      <c r="F8" s="410">
        <v>63.489868948266384</v>
      </c>
      <c r="G8" s="410"/>
      <c r="H8" s="410">
        <v>11</v>
      </c>
      <c r="I8" s="410"/>
      <c r="J8" s="410">
        <v>56.50598336395708</v>
      </c>
      <c r="K8" s="410"/>
      <c r="L8" s="410">
        <v>0</v>
      </c>
      <c r="M8" s="410"/>
      <c r="N8" s="410">
        <v>34</v>
      </c>
      <c r="O8" s="410"/>
      <c r="P8" s="411">
        <f>(1/100)*41.26</f>
        <v>0.41259999999999997</v>
      </c>
      <c r="Q8" s="410"/>
      <c r="R8" s="409">
        <v>37.29394902021168</v>
      </c>
      <c r="S8" s="410"/>
      <c r="T8" s="409">
        <v>1.6348032447216077</v>
      </c>
      <c r="U8" s="409"/>
      <c r="V8" s="409">
        <v>46.345854586235205</v>
      </c>
      <c r="W8" s="410"/>
      <c r="X8" s="410">
        <v>16</v>
      </c>
      <c r="Y8" s="410"/>
      <c r="Z8" s="410">
        <v>4.2</v>
      </c>
      <c r="AA8" s="410"/>
      <c r="AB8" s="412">
        <v>176.5556365189913</v>
      </c>
      <c r="AC8" s="410"/>
      <c r="AD8" s="409">
        <v>11.034727282436956</v>
      </c>
    </row>
    <row r="9" spans="2:30" s="40" customFormat="1" ht="12.75">
      <c r="B9" s="100"/>
      <c r="C9" s="403"/>
      <c r="D9" s="403"/>
      <c r="E9" s="403"/>
      <c r="F9" s="403"/>
      <c r="G9" s="403"/>
      <c r="H9" s="403"/>
      <c r="I9" s="403"/>
      <c r="J9" s="403"/>
      <c r="K9" s="403"/>
      <c r="L9" s="403"/>
      <c r="M9" s="403"/>
      <c r="N9" s="403"/>
      <c r="O9" s="403"/>
      <c r="P9" s="390"/>
      <c r="Q9" s="403"/>
      <c r="R9" s="100"/>
      <c r="S9" s="403"/>
      <c r="T9" s="100"/>
      <c r="U9" s="100"/>
      <c r="V9" s="100"/>
      <c r="W9" s="403"/>
      <c r="X9" s="403"/>
      <c r="Y9" s="403"/>
      <c r="Z9" s="403"/>
      <c r="AA9" s="403"/>
      <c r="AB9" s="76"/>
      <c r="AC9" s="403"/>
      <c r="AD9" s="100"/>
    </row>
    <row r="10" spans="1:30" s="40" customFormat="1" ht="12.75">
      <c r="A10" s="40" t="s">
        <v>651</v>
      </c>
      <c r="B10" s="100">
        <v>0.4502933644316832</v>
      </c>
      <c r="C10" s="403"/>
      <c r="D10" s="403">
        <v>0</v>
      </c>
      <c r="E10" s="403"/>
      <c r="F10" s="403">
        <v>0.4502933644316832</v>
      </c>
      <c r="G10" s="403"/>
      <c r="H10" s="403">
        <v>11</v>
      </c>
      <c r="I10" s="403"/>
      <c r="J10" s="403">
        <v>0.40076109434419804</v>
      </c>
      <c r="K10" s="403"/>
      <c r="L10" s="403">
        <v>0</v>
      </c>
      <c r="M10" s="403"/>
      <c r="N10" s="403">
        <v>15</v>
      </c>
      <c r="O10" s="403"/>
      <c r="P10" s="390">
        <f>(1/100)*24.35</f>
        <v>0.24350000000000002</v>
      </c>
      <c r="Q10" s="403"/>
      <c r="R10" s="100">
        <v>0.34064693019256836</v>
      </c>
      <c r="S10" s="403"/>
      <c r="T10" s="100">
        <v>0.014932468172824915</v>
      </c>
      <c r="U10" s="100"/>
      <c r="V10" s="100">
        <v>0.42332800646549995</v>
      </c>
      <c r="W10" s="403"/>
      <c r="X10" s="403">
        <v>16</v>
      </c>
      <c r="Y10" s="403"/>
      <c r="Z10" s="403">
        <v>4.2</v>
      </c>
      <c r="AA10" s="403"/>
      <c r="AB10" s="76">
        <v>1.6126781198685713</v>
      </c>
      <c r="AC10" s="403"/>
      <c r="AD10" s="100">
        <v>0.10079238249178571</v>
      </c>
    </row>
    <row r="11" spans="1:30" s="40" customFormat="1" ht="12.75">
      <c r="A11" s="40" t="s">
        <v>356</v>
      </c>
      <c r="B11" s="100">
        <v>1.0072397753051758</v>
      </c>
      <c r="C11" s="403"/>
      <c r="D11" s="403">
        <v>0</v>
      </c>
      <c r="E11" s="403"/>
      <c r="F11" s="403">
        <v>1.0072397753051758</v>
      </c>
      <c r="G11" s="403"/>
      <c r="H11" s="403">
        <v>11</v>
      </c>
      <c r="I11" s="403"/>
      <c r="J11" s="403">
        <v>0.8964434000216064</v>
      </c>
      <c r="K11" s="403"/>
      <c r="L11" s="403">
        <v>0</v>
      </c>
      <c r="M11" s="403"/>
      <c r="N11" s="403">
        <v>15</v>
      </c>
      <c r="O11" s="403"/>
      <c r="P11" s="390">
        <f>(1/100)*24.35</f>
        <v>0.24350000000000002</v>
      </c>
      <c r="Q11" s="403"/>
      <c r="R11" s="100">
        <v>0.7619768900183654</v>
      </c>
      <c r="S11" s="403"/>
      <c r="T11" s="100">
        <v>0.03340172668573657</v>
      </c>
      <c r="U11" s="100"/>
      <c r="V11" s="100">
        <v>0.9469222506772889</v>
      </c>
      <c r="W11" s="403"/>
      <c r="X11" s="403">
        <v>16</v>
      </c>
      <c r="Y11" s="403"/>
      <c r="Z11" s="403">
        <v>4.2</v>
      </c>
      <c r="AA11" s="403"/>
      <c r="AB11" s="76">
        <v>3.6073228597230056</v>
      </c>
      <c r="AC11" s="403"/>
      <c r="AD11" s="100">
        <v>0.22545767873268785</v>
      </c>
    </row>
    <row r="12" spans="1:30" s="40" customFormat="1" ht="12.75">
      <c r="A12" s="158" t="s">
        <v>652</v>
      </c>
      <c r="B12" s="402">
        <v>1.4575331397368592</v>
      </c>
      <c r="C12" s="400"/>
      <c r="D12" s="158"/>
      <c r="E12" s="400"/>
      <c r="F12" s="400">
        <v>1.4575331397368592</v>
      </c>
      <c r="G12" s="400"/>
      <c r="H12" s="158"/>
      <c r="I12" s="158"/>
      <c r="J12" s="400">
        <v>1.2972044943658045</v>
      </c>
      <c r="K12" s="158"/>
      <c r="L12" s="158"/>
      <c r="M12" s="158"/>
      <c r="N12" s="158"/>
      <c r="O12" s="400"/>
      <c r="P12" s="401">
        <f>(1/100)*24.35</f>
        <v>0.24350000000000002</v>
      </c>
      <c r="Q12" s="400"/>
      <c r="R12" s="402">
        <v>1.1026238202109337</v>
      </c>
      <c r="S12" s="400"/>
      <c r="T12" s="402">
        <v>0.04833419485856148</v>
      </c>
      <c r="U12" s="402"/>
      <c r="V12" s="402">
        <v>1.3702502571427888</v>
      </c>
      <c r="W12" s="400"/>
      <c r="X12" s="400"/>
      <c r="Y12" s="400"/>
      <c r="Z12" s="400"/>
      <c r="AA12" s="400"/>
      <c r="AB12" s="229">
        <v>5.2200009795915765</v>
      </c>
      <c r="AC12" s="400"/>
      <c r="AD12" s="402">
        <v>0.32625006122447353</v>
      </c>
    </row>
    <row r="13" spans="2:30" s="40" customFormat="1" ht="12.75">
      <c r="B13" s="100"/>
      <c r="C13" s="403"/>
      <c r="E13" s="403"/>
      <c r="F13" s="403"/>
      <c r="G13" s="403"/>
      <c r="J13" s="403"/>
      <c r="O13" s="403"/>
      <c r="P13" s="390"/>
      <c r="Q13" s="403"/>
      <c r="R13" s="100"/>
      <c r="S13" s="403"/>
      <c r="T13" s="100"/>
      <c r="U13" s="100"/>
      <c r="V13" s="100"/>
      <c r="W13" s="403"/>
      <c r="X13" s="403"/>
      <c r="Y13" s="403"/>
      <c r="Z13" s="403"/>
      <c r="AA13" s="403"/>
      <c r="AB13" s="76"/>
      <c r="AC13" s="403"/>
      <c r="AD13" s="100"/>
    </row>
    <row r="14" spans="1:30" s="40" customFormat="1" ht="12.75">
      <c r="A14" s="40" t="s">
        <v>653</v>
      </c>
      <c r="B14" s="100">
        <v>53.24690931406955</v>
      </c>
      <c r="C14" s="403"/>
      <c r="D14" s="403">
        <v>0</v>
      </c>
      <c r="E14" s="403"/>
      <c r="F14" s="403">
        <v>53.24690931406955</v>
      </c>
      <c r="G14" s="403"/>
      <c r="H14" s="403">
        <v>11</v>
      </c>
      <c r="I14" s="403"/>
      <c r="J14" s="403">
        <v>47.3897492895219</v>
      </c>
      <c r="K14" s="403"/>
      <c r="L14" s="403">
        <v>0</v>
      </c>
      <c r="M14" s="403"/>
      <c r="N14" s="403">
        <v>34</v>
      </c>
      <c r="O14" s="403"/>
      <c r="P14" s="390">
        <f>(1/100)*41.26</f>
        <v>0.41259999999999997</v>
      </c>
      <c r="Q14" s="403"/>
      <c r="R14" s="100">
        <v>31.277234531084453</v>
      </c>
      <c r="S14" s="403"/>
      <c r="T14" s="100">
        <v>1.3710568561571268</v>
      </c>
      <c r="U14" s="100"/>
      <c r="V14" s="100">
        <v>38.868776343626465</v>
      </c>
      <c r="W14" s="403"/>
      <c r="X14" s="403">
        <v>16</v>
      </c>
      <c r="Y14" s="403"/>
      <c r="Z14" s="403">
        <v>4.2</v>
      </c>
      <c r="AA14" s="403"/>
      <c r="AB14" s="76">
        <v>148.0715289281008</v>
      </c>
      <c r="AC14" s="403"/>
      <c r="AD14" s="100">
        <v>9.2544705580063</v>
      </c>
    </row>
    <row r="15" spans="1:30" s="40" customFormat="1" ht="12.75">
      <c r="A15" s="40" t="s">
        <v>654</v>
      </c>
      <c r="B15" s="100">
        <v>13.272593858143225</v>
      </c>
      <c r="C15" s="403"/>
      <c r="D15" s="403">
        <v>0</v>
      </c>
      <c r="E15" s="403"/>
      <c r="F15" s="403">
        <v>13.272593858143225</v>
      </c>
      <c r="G15" s="403"/>
      <c r="H15" s="403">
        <v>11</v>
      </c>
      <c r="I15" s="403"/>
      <c r="J15" s="403">
        <v>11.81260853374747</v>
      </c>
      <c r="K15" s="403"/>
      <c r="L15" s="403">
        <v>0</v>
      </c>
      <c r="M15" s="403"/>
      <c r="N15" s="403">
        <v>34</v>
      </c>
      <c r="O15" s="403"/>
      <c r="P15" s="390">
        <f>(1/100)*41.26</f>
        <v>0.41259999999999997</v>
      </c>
      <c r="Q15" s="403"/>
      <c r="R15" s="100">
        <v>7.796321632273329</v>
      </c>
      <c r="S15" s="403"/>
      <c r="T15" s="100">
        <v>0.3417565647023926</v>
      </c>
      <c r="U15" s="100"/>
      <c r="V15" s="100">
        <v>9.688627731030476</v>
      </c>
      <c r="W15" s="403"/>
      <c r="X15" s="403">
        <v>16</v>
      </c>
      <c r="Y15" s="403"/>
      <c r="Z15" s="403">
        <v>4.2</v>
      </c>
      <c r="AA15" s="403"/>
      <c r="AB15" s="76">
        <v>36.90905802297324</v>
      </c>
      <c r="AC15" s="403"/>
      <c r="AD15" s="100">
        <v>2.3068161264358276</v>
      </c>
    </row>
    <row r="16" spans="1:30" s="40" customFormat="1" ht="12.75">
      <c r="A16" s="40" t="s">
        <v>655</v>
      </c>
      <c r="B16" s="100">
        <v>2.8874618429254197</v>
      </c>
      <c r="C16" s="403"/>
      <c r="D16" s="403">
        <v>0</v>
      </c>
      <c r="E16" s="403"/>
      <c r="F16" s="403">
        <v>2.8874618429254197</v>
      </c>
      <c r="G16" s="403"/>
      <c r="H16" s="403">
        <v>11</v>
      </c>
      <c r="I16" s="403"/>
      <c r="J16" s="403">
        <v>2.5698410402036234</v>
      </c>
      <c r="K16" s="403"/>
      <c r="L16" s="403">
        <v>0</v>
      </c>
      <c r="M16" s="403"/>
      <c r="N16" s="403">
        <v>34</v>
      </c>
      <c r="O16" s="403"/>
      <c r="P16" s="390">
        <f>(1/100)*41.26</f>
        <v>0.41259999999999997</v>
      </c>
      <c r="Q16" s="403"/>
      <c r="R16" s="100">
        <v>1.6960950865343913</v>
      </c>
      <c r="S16" s="403"/>
      <c r="T16" s="100">
        <v>0.07434937365630209</v>
      </c>
      <c r="U16" s="100"/>
      <c r="V16" s="100">
        <v>2.107767568469336</v>
      </c>
      <c r="W16" s="403"/>
      <c r="X16" s="403">
        <v>16</v>
      </c>
      <c r="Y16" s="403"/>
      <c r="Z16" s="403">
        <v>4.2</v>
      </c>
      <c r="AA16" s="403"/>
      <c r="AB16" s="76">
        <v>8.02959073702604</v>
      </c>
      <c r="AC16" s="403"/>
      <c r="AD16" s="100">
        <v>0.5018494210641276</v>
      </c>
    </row>
    <row r="17" spans="1:30" s="40" customFormat="1" ht="12.75">
      <c r="A17" s="158" t="s">
        <v>656</v>
      </c>
      <c r="B17" s="402">
        <v>69.40696501513818</v>
      </c>
      <c r="C17" s="400"/>
      <c r="D17" s="158"/>
      <c r="E17" s="400"/>
      <c r="F17" s="400">
        <v>69.40696501513818</v>
      </c>
      <c r="G17" s="400"/>
      <c r="H17" s="158"/>
      <c r="I17" s="400"/>
      <c r="J17" s="400">
        <v>61.772198863473</v>
      </c>
      <c r="K17" s="158"/>
      <c r="L17" s="158"/>
      <c r="M17" s="158"/>
      <c r="N17" s="158"/>
      <c r="O17" s="400"/>
      <c r="P17" s="401">
        <f>(1/100)*41.26</f>
        <v>0.41259999999999997</v>
      </c>
      <c r="Q17" s="158"/>
      <c r="R17" s="402">
        <v>40.76965124989218</v>
      </c>
      <c r="S17" s="400"/>
      <c r="T17" s="402">
        <v>1.7871627945158213</v>
      </c>
      <c r="U17" s="402"/>
      <c r="V17" s="402">
        <v>50.66517164312627</v>
      </c>
      <c r="W17" s="400"/>
      <c r="X17" s="400"/>
      <c r="Y17" s="400"/>
      <c r="Z17" s="400"/>
      <c r="AA17" s="400"/>
      <c r="AB17" s="229">
        <v>193.0101776881001</v>
      </c>
      <c r="AC17" s="400"/>
      <c r="AD17" s="402">
        <v>12.063136105506256</v>
      </c>
    </row>
    <row r="18" spans="2:30" s="40" customFormat="1" ht="13.5" thickBot="1">
      <c r="B18" s="100"/>
      <c r="C18" s="403"/>
      <c r="E18" s="403"/>
      <c r="F18" s="403"/>
      <c r="G18" s="403"/>
      <c r="I18" s="403"/>
      <c r="J18" s="403"/>
      <c r="O18" s="403"/>
      <c r="P18" s="390"/>
      <c r="R18" s="100"/>
      <c r="S18" s="403"/>
      <c r="T18" s="100"/>
      <c r="U18" s="100"/>
      <c r="V18" s="100"/>
      <c r="W18" s="403"/>
      <c r="X18" s="403"/>
      <c r="Y18" s="403"/>
      <c r="Z18" s="403"/>
      <c r="AA18" s="403"/>
      <c r="AB18" s="76"/>
      <c r="AC18" s="403"/>
      <c r="AD18" s="100"/>
    </row>
    <row r="19" spans="1:30" s="40" customFormat="1" ht="13.5" thickBot="1">
      <c r="A19" s="404" t="s">
        <v>657</v>
      </c>
      <c r="B19" s="413">
        <v>134.35436710314144</v>
      </c>
      <c r="C19" s="405"/>
      <c r="D19" s="408"/>
      <c r="E19" s="405"/>
      <c r="F19" s="405">
        <v>134.35436710314144</v>
      </c>
      <c r="G19" s="405"/>
      <c r="H19" s="408"/>
      <c r="I19" s="405"/>
      <c r="J19" s="405">
        <v>119.57538672179587</v>
      </c>
      <c r="K19" s="408"/>
      <c r="L19" s="408"/>
      <c r="M19" s="408"/>
      <c r="N19" s="408"/>
      <c r="O19" s="405"/>
      <c r="P19" s="406">
        <f>(1/100)*41.0766111283152</f>
        <v>0.410766111283152</v>
      </c>
      <c r="Q19" s="408"/>
      <c r="R19" s="413">
        <v>79.16622409031478</v>
      </c>
      <c r="S19" s="405"/>
      <c r="T19" s="413">
        <v>3.4703002340959905</v>
      </c>
      <c r="U19" s="413"/>
      <c r="V19" s="413">
        <v>98.3812764865043</v>
      </c>
      <c r="W19" s="405"/>
      <c r="X19" s="405"/>
      <c r="Y19" s="405"/>
      <c r="Z19" s="405"/>
      <c r="AA19" s="405"/>
      <c r="AB19" s="414">
        <v>374.78581518668295</v>
      </c>
      <c r="AC19" s="405"/>
      <c r="AD19" s="415">
        <v>23.424113449167685</v>
      </c>
    </row>
    <row r="20" spans="2:30" s="27" customFormat="1" ht="12.75">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row>
  </sheetData>
  <sheetProtection/>
  <mergeCells count="30">
    <mergeCell ref="AB7:AC7"/>
    <mergeCell ref="AD7:AE7"/>
    <mergeCell ref="P7:Q7"/>
    <mergeCell ref="R7:S7"/>
    <mergeCell ref="T7:U7"/>
    <mergeCell ref="V7:W7"/>
    <mergeCell ref="X7:Y7"/>
    <mergeCell ref="Z7:AA7"/>
    <mergeCell ref="AD3:AE6"/>
    <mergeCell ref="L4:M6"/>
    <mergeCell ref="N4:O6"/>
    <mergeCell ref="B7:C7"/>
    <mergeCell ref="D7:E7"/>
    <mergeCell ref="F7:G7"/>
    <mergeCell ref="H7:I7"/>
    <mergeCell ref="J7:K7"/>
    <mergeCell ref="L7:M7"/>
    <mergeCell ref="N7:O7"/>
    <mergeCell ref="L3:O3"/>
    <mergeCell ref="P3:Q6"/>
    <mergeCell ref="R3:W6"/>
    <mergeCell ref="X3:Y6"/>
    <mergeCell ref="Z3:AA6"/>
    <mergeCell ref="AB3:AC6"/>
    <mergeCell ref="A3:A6"/>
    <mergeCell ref="B3:C6"/>
    <mergeCell ref="D3:E6"/>
    <mergeCell ref="F3:G6"/>
    <mergeCell ref="H3:I6"/>
    <mergeCell ref="J3:K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I223"/>
  <sheetViews>
    <sheetView zoomScale="115" zoomScaleNormal="115" zoomScalePageLayoutView="0" workbookViewId="0" topLeftCell="A1">
      <pane ySplit="2400" topLeftCell="A195" activePane="bottomLeft" state="split"/>
      <selection pane="topLeft" activeCell="Y7" sqref="X1:Y16384"/>
      <selection pane="bottomLeft" activeCell="AF204" sqref="AF204"/>
    </sheetView>
  </sheetViews>
  <sheetFormatPr defaultColWidth="8.8515625" defaultRowHeight="12.75"/>
  <cols>
    <col min="1" max="1" width="27.00390625" style="0" customWidth="1"/>
    <col min="2" max="2" width="16.8515625" style="0" hidden="1" customWidth="1"/>
    <col min="3" max="22" width="9.140625" style="0" hidden="1" customWidth="1"/>
    <col min="23" max="23" width="0.2890625" style="0" customWidth="1"/>
    <col min="24" max="26" width="15.421875" style="0" hidden="1" customWidth="1"/>
    <col min="27" max="27" width="15.140625" style="0" hidden="1" customWidth="1"/>
    <col min="28" max="28" width="15.28125" style="0" hidden="1" customWidth="1"/>
    <col min="29" max="29" width="15.00390625" style="0" hidden="1" customWidth="1"/>
    <col min="30" max="30" width="15.140625" style="0" hidden="1" customWidth="1"/>
    <col min="31" max="31" width="15.28125" style="465" hidden="1" customWidth="1"/>
    <col min="32" max="32" width="15.421875" style="0" customWidth="1"/>
    <col min="33" max="34" width="12.140625" style="208" customWidth="1"/>
    <col min="35" max="35" width="17.421875" style="0" customWidth="1"/>
    <col min="36" max="36" width="10.421875" style="0" customWidth="1"/>
  </cols>
  <sheetData>
    <row r="1" spans="2:34" ht="48" customHeight="1">
      <c r="B1" s="1188" t="s">
        <v>694</v>
      </c>
      <c r="C1" s="1188"/>
      <c r="D1" s="1188"/>
      <c r="E1" s="1188"/>
      <c r="F1" s="1188"/>
      <c r="G1" s="1188"/>
      <c r="H1" s="1188"/>
      <c r="I1" s="1188"/>
      <c r="J1" s="1188"/>
      <c r="K1" s="1188"/>
      <c r="L1" s="1188"/>
      <c r="M1" s="1188"/>
      <c r="N1" s="1188"/>
      <c r="O1" s="1188"/>
      <c r="P1" s="1188"/>
      <c r="Q1" s="1188"/>
      <c r="R1" s="1188"/>
      <c r="S1" s="1188"/>
      <c r="T1" s="1188"/>
      <c r="U1" s="1188"/>
      <c r="V1" s="1188"/>
      <c r="W1" s="1188"/>
      <c r="X1" s="1188"/>
      <c r="Y1" s="1188"/>
      <c r="Z1" s="1188"/>
      <c r="AA1" s="1188"/>
      <c r="AB1" s="1188"/>
      <c r="AC1" s="1188"/>
      <c r="AD1" s="1188"/>
      <c r="AE1" s="66"/>
      <c r="AF1" s="1188" t="s">
        <v>695</v>
      </c>
      <c r="AG1" s="1188"/>
      <c r="AH1" s="1141"/>
    </row>
    <row r="2" spans="2:34" ht="12.75" customHeight="1">
      <c r="B2" s="1182" t="s">
        <v>124</v>
      </c>
      <c r="C2" s="1182"/>
      <c r="D2" s="1183" t="s">
        <v>125</v>
      </c>
      <c r="E2" s="1182"/>
      <c r="F2" s="1182" t="s">
        <v>126</v>
      </c>
      <c r="G2" s="1182"/>
      <c r="H2" s="1182" t="s">
        <v>127</v>
      </c>
      <c r="I2" s="1182"/>
      <c r="J2" s="1182" t="s">
        <v>128</v>
      </c>
      <c r="K2" s="1182"/>
      <c r="L2" s="1184" t="s">
        <v>129</v>
      </c>
      <c r="M2" s="1184"/>
      <c r="N2" s="1184"/>
      <c r="O2" s="1184"/>
      <c r="P2" s="1182" t="s">
        <v>130</v>
      </c>
      <c r="Q2" s="1182"/>
      <c r="R2" s="1182" t="s">
        <v>131</v>
      </c>
      <c r="S2" s="1187"/>
      <c r="T2" s="1187"/>
      <c r="U2" s="1187"/>
      <c r="V2" s="1187"/>
      <c r="W2" s="1187"/>
      <c r="X2" s="1187"/>
      <c r="Y2" s="1187"/>
      <c r="Z2" s="1182" t="s">
        <v>562</v>
      </c>
      <c r="AA2" s="1187"/>
      <c r="AB2" s="1182" t="s">
        <v>563</v>
      </c>
      <c r="AC2" s="1182"/>
      <c r="AD2" s="1183" t="s">
        <v>696</v>
      </c>
      <c r="AE2" s="1191" t="s">
        <v>760</v>
      </c>
      <c r="AF2" s="1182" t="s">
        <v>131</v>
      </c>
      <c r="AG2" s="1190" t="s">
        <v>696</v>
      </c>
      <c r="AH2" s="1142"/>
    </row>
    <row r="3" spans="2:34" ht="6.75" customHeight="1">
      <c r="B3" s="1182"/>
      <c r="C3" s="1182"/>
      <c r="D3" s="1182"/>
      <c r="E3" s="1182"/>
      <c r="F3" s="1182"/>
      <c r="G3" s="1182"/>
      <c r="H3" s="1182"/>
      <c r="I3" s="1182"/>
      <c r="J3" s="1182"/>
      <c r="K3" s="1182"/>
      <c r="L3" s="1182" t="s">
        <v>133</v>
      </c>
      <c r="M3" s="1182"/>
      <c r="N3" s="1182" t="s">
        <v>134</v>
      </c>
      <c r="O3" s="1182"/>
      <c r="P3" s="1182"/>
      <c r="Q3" s="1182"/>
      <c r="R3" s="1187"/>
      <c r="S3" s="1187"/>
      <c r="T3" s="1187"/>
      <c r="U3" s="1187"/>
      <c r="V3" s="1187"/>
      <c r="W3" s="1187"/>
      <c r="X3" s="1187"/>
      <c r="Y3" s="1187"/>
      <c r="Z3" s="1187"/>
      <c r="AA3" s="1187"/>
      <c r="AB3" s="1187"/>
      <c r="AC3" s="1187"/>
      <c r="AD3" s="1187"/>
      <c r="AE3" s="1191"/>
      <c r="AF3" s="1182"/>
      <c r="AG3" s="1190"/>
      <c r="AH3" s="1142"/>
    </row>
    <row r="4" spans="2:34" ht="7.5" customHeight="1">
      <c r="B4" s="1182"/>
      <c r="C4" s="1182"/>
      <c r="D4" s="1182"/>
      <c r="E4" s="1182"/>
      <c r="F4" s="1182"/>
      <c r="G4" s="1182"/>
      <c r="H4" s="1182"/>
      <c r="I4" s="1182"/>
      <c r="J4" s="1182"/>
      <c r="K4" s="1182"/>
      <c r="L4" s="1182"/>
      <c r="M4" s="1182"/>
      <c r="N4" s="1182"/>
      <c r="O4" s="1182"/>
      <c r="P4" s="1182"/>
      <c r="Q4" s="1182"/>
      <c r="R4" s="1187"/>
      <c r="S4" s="1187"/>
      <c r="T4" s="1187"/>
      <c r="U4" s="1187"/>
      <c r="V4" s="1187"/>
      <c r="W4" s="1187"/>
      <c r="X4" s="1187"/>
      <c r="Y4" s="1187"/>
      <c r="Z4" s="1187"/>
      <c r="AA4" s="1187"/>
      <c r="AB4" s="1187"/>
      <c r="AC4" s="1187"/>
      <c r="AD4" s="1187"/>
      <c r="AE4" s="1191"/>
      <c r="AF4" s="1182"/>
      <c r="AG4" s="1190"/>
      <c r="AH4" s="1142"/>
    </row>
    <row r="5" spans="2:34" ht="6" customHeight="1">
      <c r="B5" s="1182"/>
      <c r="C5" s="1182"/>
      <c r="D5" s="1182"/>
      <c r="E5" s="1182"/>
      <c r="F5" s="1182"/>
      <c r="G5" s="1182"/>
      <c r="H5" s="1182"/>
      <c r="I5" s="1182"/>
      <c r="J5" s="1182"/>
      <c r="K5" s="1182"/>
      <c r="L5" s="1182"/>
      <c r="M5" s="1182"/>
      <c r="N5" s="1182"/>
      <c r="O5" s="1182"/>
      <c r="P5" s="1182"/>
      <c r="Q5" s="1182"/>
      <c r="R5" s="1187"/>
      <c r="S5" s="1187"/>
      <c r="T5" s="1187"/>
      <c r="U5" s="1187"/>
      <c r="V5" s="1187"/>
      <c r="W5" s="1187"/>
      <c r="X5" s="1187"/>
      <c r="Y5" s="1187"/>
      <c r="Z5" s="1187"/>
      <c r="AA5" s="1187"/>
      <c r="AB5" s="1187"/>
      <c r="AC5" s="1187"/>
      <c r="AD5" s="1187"/>
      <c r="AE5" s="1191"/>
      <c r="AF5" s="1182"/>
      <c r="AG5" s="1190"/>
      <c r="AH5" s="1142"/>
    </row>
    <row r="6" spans="2:35" ht="12.75">
      <c r="B6" s="1189" t="s">
        <v>477</v>
      </c>
      <c r="C6" s="1189"/>
      <c r="D6" s="1189" t="s">
        <v>478</v>
      </c>
      <c r="E6" s="1189"/>
      <c r="F6" s="1189" t="s">
        <v>477</v>
      </c>
      <c r="G6" s="1189"/>
      <c r="H6" s="1189" t="s">
        <v>478</v>
      </c>
      <c r="I6" s="1189"/>
      <c r="J6" s="1189" t="s">
        <v>477</v>
      </c>
      <c r="K6" s="1189"/>
      <c r="L6" s="1189" t="s">
        <v>478</v>
      </c>
      <c r="M6" s="1189"/>
      <c r="N6" s="1189" t="s">
        <v>478</v>
      </c>
      <c r="O6" s="1189"/>
      <c r="P6" s="1189" t="s">
        <v>478</v>
      </c>
      <c r="Q6" s="1189"/>
      <c r="R6" s="1189" t="s">
        <v>477</v>
      </c>
      <c r="S6" s="1189"/>
      <c r="T6" s="1189" t="s">
        <v>66</v>
      </c>
      <c r="U6" s="1189"/>
      <c r="V6" s="460"/>
      <c r="W6" s="460"/>
      <c r="X6" s="1189" t="s">
        <v>479</v>
      </c>
      <c r="Y6" s="1189"/>
      <c r="Z6" s="1189" t="s">
        <v>480</v>
      </c>
      <c r="AA6" s="1189"/>
      <c r="AB6" s="1189" t="s">
        <v>135</v>
      </c>
      <c r="AC6" s="1189"/>
      <c r="AD6" s="456" t="s">
        <v>480</v>
      </c>
      <c r="AE6" s="463" t="s">
        <v>186</v>
      </c>
      <c r="AF6" s="461" t="s">
        <v>479</v>
      </c>
      <c r="AG6" s="1135" t="s">
        <v>480</v>
      </c>
      <c r="AH6" s="1142"/>
      <c r="AI6" s="462"/>
    </row>
    <row r="7" spans="1:34" ht="12.75">
      <c r="A7" s="8" t="s">
        <v>673</v>
      </c>
      <c r="X7" s="468">
        <f>X8+X20+X30+X43+X72</f>
        <v>203.872103690768</v>
      </c>
      <c r="Y7" s="468">
        <v>0</v>
      </c>
      <c r="Z7" s="468">
        <v>0</v>
      </c>
      <c r="AA7" s="468">
        <v>0</v>
      </c>
      <c r="AB7" s="468">
        <v>0</v>
      </c>
      <c r="AC7" s="468">
        <v>0</v>
      </c>
      <c r="AD7" s="468">
        <f>AD8+AD20+AD30+AD43+AD72</f>
        <v>105.18426262941782</v>
      </c>
      <c r="AE7" s="469"/>
      <c r="AF7" s="468">
        <f>AF8+AF20+AF30+AF43+AF72</f>
        <v>386.13963131325045</v>
      </c>
      <c r="AG7" s="487">
        <f>AG8+AG20+AG30+AG43+AG72</f>
        <v>274.684693897938</v>
      </c>
      <c r="AH7" s="487"/>
    </row>
    <row r="8" spans="1:34" ht="12.75">
      <c r="A8" s="8" t="s">
        <v>769</v>
      </c>
      <c r="X8" s="468">
        <f>SUM(X9:X18)</f>
        <v>12.70453264081125</v>
      </c>
      <c r="Y8" s="468"/>
      <c r="Z8" s="468"/>
      <c r="AA8" s="468"/>
      <c r="AB8" s="468"/>
      <c r="AC8" s="468"/>
      <c r="AD8" s="468">
        <f>SUM(AD9:AD18)</f>
        <v>3.0357779636361664</v>
      </c>
      <c r="AE8" s="469"/>
      <c r="AF8" s="468">
        <f>SUM(AF9:AF18)</f>
        <v>25.380039912812475</v>
      </c>
      <c r="AG8" s="487">
        <f>SUM(AG9:AG18)</f>
        <v>5.918173333333332</v>
      </c>
      <c r="AH8" s="487"/>
    </row>
    <row r="9" spans="1:35" ht="12.75">
      <c r="A9" s="14" t="s">
        <v>482</v>
      </c>
      <c r="B9" s="24">
        <v>5.845192533524538</v>
      </c>
      <c r="C9" s="24"/>
      <c r="D9" s="24"/>
      <c r="E9" s="24"/>
      <c r="F9" s="24"/>
      <c r="G9" s="24"/>
      <c r="H9" s="24"/>
      <c r="I9" s="24"/>
      <c r="J9" s="24"/>
      <c r="K9" s="24"/>
      <c r="L9" s="24"/>
      <c r="M9" s="24"/>
      <c r="N9" s="24"/>
      <c r="O9" s="24"/>
      <c r="P9" s="24">
        <v>60.30896552933418</v>
      </c>
      <c r="Q9" s="24"/>
      <c r="R9" s="24">
        <v>2.3200173833580093</v>
      </c>
      <c r="S9" s="24"/>
      <c r="T9" s="24">
        <v>0.1016993921472004</v>
      </c>
      <c r="U9" s="24"/>
      <c r="V9" s="24"/>
      <c r="W9" s="24"/>
      <c r="X9" s="118">
        <v>2.8831269176770578</v>
      </c>
      <c r="Y9" s="118"/>
      <c r="Z9" s="118"/>
      <c r="AA9" s="118"/>
      <c r="AB9" s="118"/>
      <c r="AC9" s="118"/>
      <c r="AD9" s="118">
        <v>0.9821641148130638</v>
      </c>
      <c r="AE9" s="465">
        <f>(Veg!$E$8/Veg!$B$8)</f>
        <v>1.9977153532813334</v>
      </c>
      <c r="AF9" s="477">
        <f aca="true" t="shared" si="0" ref="AF9:AF18">X9*AE9</f>
        <v>5.759666908902146</v>
      </c>
      <c r="AG9" s="1134">
        <v>1.9584000000000001</v>
      </c>
      <c r="AH9" s="1134"/>
      <c r="AI9" s="118"/>
    </row>
    <row r="10" spans="1:34" ht="12.75">
      <c r="A10" s="14" t="s">
        <v>677</v>
      </c>
      <c r="B10" s="24">
        <v>2.5150839034963717</v>
      </c>
      <c r="C10" s="24"/>
      <c r="D10" s="24"/>
      <c r="E10" s="24"/>
      <c r="F10" s="24"/>
      <c r="G10" s="24"/>
      <c r="H10" s="24"/>
      <c r="I10" s="24"/>
      <c r="J10" s="24"/>
      <c r="K10" s="24"/>
      <c r="L10" s="24"/>
      <c r="M10" s="24"/>
      <c r="N10" s="24"/>
      <c r="O10" s="24"/>
      <c r="P10" s="24">
        <v>37.8044864</v>
      </c>
      <c r="Q10" s="24"/>
      <c r="R10" s="24">
        <v>1.5642693512504966</v>
      </c>
      <c r="S10" s="24"/>
      <c r="T10" s="24">
        <v>0.06857071128769301</v>
      </c>
      <c r="U10" s="24"/>
      <c r="V10" s="24"/>
      <c r="W10" s="24"/>
      <c r="X10" s="118">
        <v>1.943945379650453</v>
      </c>
      <c r="Y10" s="118"/>
      <c r="Z10" s="118"/>
      <c r="AA10" s="118"/>
      <c r="AB10" s="118"/>
      <c r="AC10" s="118"/>
      <c r="AD10" s="118">
        <v>0.5493758681620845</v>
      </c>
      <c r="AE10" s="465">
        <f>(Veg!$E$8/Veg!$B$8)</f>
        <v>1.9977153532813334</v>
      </c>
      <c r="AF10" s="477">
        <f>X10*AE10</f>
        <v>3.883449530868021</v>
      </c>
      <c r="AG10" s="275">
        <v>1.1778433333333331</v>
      </c>
      <c r="AH10" s="275"/>
    </row>
    <row r="11" spans="1:34" ht="12.75">
      <c r="A11" t="s">
        <v>484</v>
      </c>
      <c r="B11" s="24">
        <v>0.6600557275255606</v>
      </c>
      <c r="C11" s="24"/>
      <c r="D11" s="24"/>
      <c r="E11" s="24"/>
      <c r="F11" s="24"/>
      <c r="G11" s="24"/>
      <c r="H11" s="24"/>
      <c r="I11" s="24"/>
      <c r="J11" s="24"/>
      <c r="K11" s="24"/>
      <c r="L11" s="24"/>
      <c r="M11" s="24"/>
      <c r="N11" s="24"/>
      <c r="O11" s="24"/>
      <c r="P11" s="24">
        <v>0.895444571107643</v>
      </c>
      <c r="Q11" s="24"/>
      <c r="R11" s="24">
        <v>0.06901240968429148</v>
      </c>
      <c r="S11" s="24"/>
      <c r="T11" s="24">
        <v>0.003025201520407298</v>
      </c>
      <c r="U11" s="24"/>
      <c r="V11" s="24"/>
      <c r="W11" s="24"/>
      <c r="X11" s="465">
        <v>0.0857629505027867</v>
      </c>
      <c r="Y11" s="465"/>
      <c r="Z11" s="465"/>
      <c r="AA11" s="465"/>
      <c r="AB11" s="465"/>
      <c r="AC11" s="465"/>
      <c r="AD11" s="465">
        <v>0.026205345986962603</v>
      </c>
      <c r="AE11" s="465">
        <f>(Veg!$E$8/Veg!$B$8)</f>
        <v>1.9977153532813334</v>
      </c>
      <c r="AF11" s="483">
        <f t="shared" si="0"/>
        <v>0.17132996296212405</v>
      </c>
      <c r="AG11" s="1134">
        <v>0.054720000000000005</v>
      </c>
      <c r="AH11" s="1134"/>
    </row>
    <row r="12" spans="1:34" ht="12.75">
      <c r="A12" t="s">
        <v>485</v>
      </c>
      <c r="B12" s="24">
        <v>0.2689551220603903</v>
      </c>
      <c r="C12" s="24"/>
      <c r="D12" s="24"/>
      <c r="E12" s="24"/>
      <c r="F12" s="24"/>
      <c r="G12" s="24"/>
      <c r="H12" s="24"/>
      <c r="I12" s="24"/>
      <c r="J12" s="24"/>
      <c r="K12" s="24"/>
      <c r="L12" s="24"/>
      <c r="M12" s="24"/>
      <c r="N12" s="24"/>
      <c r="O12" s="24"/>
      <c r="P12" s="24">
        <v>0.7080721252371551</v>
      </c>
      <c r="Q12" s="24"/>
      <c r="R12" s="24">
        <v>0.07851549718967134</v>
      </c>
      <c r="S12" s="24"/>
      <c r="T12" s="24">
        <v>0.0034417752192732647</v>
      </c>
      <c r="U12" s="24"/>
      <c r="V12" s="24"/>
      <c r="W12" s="24"/>
      <c r="X12" s="465">
        <v>0.09757260657878741</v>
      </c>
      <c r="Y12" s="465"/>
      <c r="Z12" s="465"/>
      <c r="AA12" s="465"/>
      <c r="AB12" s="465"/>
      <c r="AC12" s="465"/>
      <c r="AD12" s="465">
        <v>0.015611617052605987</v>
      </c>
      <c r="AE12" s="465">
        <f>(Veg!$E$8/Veg!$B$8)</f>
        <v>1.9977153532813334</v>
      </c>
      <c r="AF12" s="483">
        <f t="shared" si="0"/>
        <v>0.19492229422212284</v>
      </c>
      <c r="AG12" s="1134">
        <v>0.03315</v>
      </c>
      <c r="AH12" s="1134"/>
    </row>
    <row r="13" spans="1:34" ht="12.75">
      <c r="A13" t="s">
        <v>486</v>
      </c>
      <c r="B13" s="24">
        <v>10.932342874620794</v>
      </c>
      <c r="C13" s="24"/>
      <c r="D13" s="24"/>
      <c r="E13" s="24"/>
      <c r="F13" s="24"/>
      <c r="G13" s="24"/>
      <c r="H13" s="24"/>
      <c r="I13" s="24"/>
      <c r="J13" s="24"/>
      <c r="K13" s="24"/>
      <c r="L13" s="24"/>
      <c r="M13" s="24"/>
      <c r="N13" s="24"/>
      <c r="O13" s="24"/>
      <c r="P13" s="24">
        <v>0.556988642157939</v>
      </c>
      <c r="Q13" s="24"/>
      <c r="R13" s="24">
        <v>4.843152061280736</v>
      </c>
      <c r="S13" s="24"/>
      <c r="T13" s="24">
        <v>0.21230255611093635</v>
      </c>
      <c r="U13" s="24"/>
      <c r="V13" s="24"/>
      <c r="W13" s="24"/>
      <c r="X13" s="118">
        <v>6.0186713144669906</v>
      </c>
      <c r="Y13" s="118"/>
      <c r="Z13" s="118"/>
      <c r="AA13" s="118"/>
      <c r="AB13" s="118"/>
      <c r="AC13" s="118"/>
      <c r="AD13" s="118">
        <v>1.0151975711149142</v>
      </c>
      <c r="AE13" s="465">
        <f>(Veg!$E$8/Veg!$B$8)</f>
        <v>1.9977153532813334</v>
      </c>
      <c r="AF13" s="477">
        <f>X13*AE13</f>
        <v>12.023592091264652</v>
      </c>
      <c r="AG13" s="1134">
        <v>1.8035999999999999</v>
      </c>
      <c r="AH13" s="1134"/>
    </row>
    <row r="14" spans="1:34" ht="12.75">
      <c r="A14" t="s">
        <v>487</v>
      </c>
      <c r="B14" s="24">
        <v>0.3230589961959659</v>
      </c>
      <c r="C14" s="24"/>
      <c r="D14" s="24"/>
      <c r="E14" s="24"/>
      <c r="F14" s="24"/>
      <c r="G14" s="24"/>
      <c r="H14" s="24"/>
      <c r="I14" s="24"/>
      <c r="J14" s="24"/>
      <c r="K14" s="24"/>
      <c r="L14" s="24"/>
      <c r="M14" s="24"/>
      <c r="N14" s="24"/>
      <c r="O14" s="24"/>
      <c r="P14" s="24">
        <v>0.876889014226386</v>
      </c>
      <c r="Q14" s="24"/>
      <c r="R14" s="24">
        <v>0.039772111484719555</v>
      </c>
      <c r="S14" s="24"/>
      <c r="T14" s="24">
        <v>0.0017434350239877068</v>
      </c>
      <c r="U14" s="24"/>
      <c r="V14" s="24"/>
      <c r="W14" s="24"/>
      <c r="X14" s="465">
        <v>0.049425511212539484</v>
      </c>
      <c r="Y14" s="118"/>
      <c r="Z14" s="118"/>
      <c r="AA14" s="118"/>
      <c r="AB14" s="118"/>
      <c r="AC14" s="118"/>
      <c r="AD14" s="465">
        <v>0.025081602704870788</v>
      </c>
      <c r="AE14" s="465">
        <f>(Veg!$E$8/Veg!$B$8)</f>
        <v>1.9977153532813334</v>
      </c>
      <c r="AF14" s="483">
        <f t="shared" si="0"/>
        <v>0.09873810259306882</v>
      </c>
      <c r="AG14" s="1134">
        <v>0.041580000000000006</v>
      </c>
      <c r="AH14" s="1134"/>
    </row>
    <row r="15" spans="1:34" ht="12.75">
      <c r="A15" s="14" t="s">
        <v>488</v>
      </c>
      <c r="B15" s="24">
        <v>1.850567249678754</v>
      </c>
      <c r="C15" s="24"/>
      <c r="D15" s="24"/>
      <c r="E15" s="24"/>
      <c r="F15" s="24"/>
      <c r="G15" s="24"/>
      <c r="H15" s="24"/>
      <c r="I15" s="24"/>
      <c r="J15" s="24"/>
      <c r="K15" s="24"/>
      <c r="L15" s="24"/>
      <c r="M15" s="24"/>
      <c r="N15" s="24"/>
      <c r="O15" s="24"/>
      <c r="P15" s="24">
        <v>52.54002861326647</v>
      </c>
      <c r="Q15" s="24"/>
      <c r="R15" s="24">
        <v>0.8782786871897981</v>
      </c>
      <c r="S15" s="24"/>
      <c r="T15" s="24">
        <v>0.03849988765763499</v>
      </c>
      <c r="U15" s="24"/>
      <c r="V15" s="24"/>
      <c r="W15" s="24"/>
      <c r="X15" s="118">
        <v>1.0914525651501232</v>
      </c>
      <c r="Y15" s="118"/>
      <c r="Z15" s="118"/>
      <c r="AA15" s="118"/>
      <c r="AB15" s="118"/>
      <c r="AC15" s="118"/>
      <c r="AD15" s="465">
        <v>0.2546722652016954</v>
      </c>
      <c r="AE15" s="465">
        <f>(Veg!$E$8/Veg!$B$8)</f>
        <v>1.9977153532813334</v>
      </c>
      <c r="AF15" s="477">
        <f t="shared" si="0"/>
        <v>2.180411546778696</v>
      </c>
      <c r="AG15" s="1134">
        <v>0.5014</v>
      </c>
      <c r="AH15" s="1134"/>
    </row>
    <row r="16" spans="1:34" ht="12.75">
      <c r="A16" s="14" t="s">
        <v>697</v>
      </c>
      <c r="B16" s="24">
        <v>0.6740166346189416</v>
      </c>
      <c r="C16" s="24"/>
      <c r="D16" s="24"/>
      <c r="E16" s="24"/>
      <c r="F16" s="24"/>
      <c r="G16" s="24"/>
      <c r="H16" s="24"/>
      <c r="I16" s="24"/>
      <c r="J16" s="24"/>
      <c r="K16" s="24"/>
      <c r="L16" s="24"/>
      <c r="M16" s="24"/>
      <c r="N16" s="24"/>
      <c r="O16" s="24"/>
      <c r="P16" s="24">
        <v>56.615427999999994</v>
      </c>
      <c r="Q16" s="24"/>
      <c r="R16" s="24">
        <v>0.2924192321382316</v>
      </c>
      <c r="S16" s="24"/>
      <c r="T16" s="24">
        <v>0.012818377299210154</v>
      </c>
      <c r="U16" s="24"/>
      <c r="V16" s="24"/>
      <c r="W16" s="24"/>
      <c r="X16" s="465">
        <v>0.3633945872439582</v>
      </c>
      <c r="Y16" s="118"/>
      <c r="Z16" s="118"/>
      <c r="AA16" s="118"/>
      <c r="AB16" s="118"/>
      <c r="AC16" s="118"/>
      <c r="AD16" s="465">
        <v>0.11666878853621816</v>
      </c>
      <c r="AE16" s="465">
        <f>(Veg!$E$8/Veg!$B$8)</f>
        <v>1.9977153532813334</v>
      </c>
      <c r="AF16" s="477">
        <f t="shared" si="0"/>
        <v>0.7259589462365883</v>
      </c>
      <c r="AG16" s="1134">
        <v>0.24683999999999998</v>
      </c>
      <c r="AH16" s="1134"/>
    </row>
    <row r="17" spans="1:34" ht="12.75">
      <c r="A17" t="s">
        <v>489</v>
      </c>
      <c r="B17" s="24">
        <v>0.403214625634273</v>
      </c>
      <c r="C17" s="24"/>
      <c r="D17" s="24"/>
      <c r="E17" s="24"/>
      <c r="F17" s="24"/>
      <c r="G17" s="24"/>
      <c r="H17" s="24"/>
      <c r="I17" s="24"/>
      <c r="J17" s="24"/>
      <c r="K17" s="24"/>
      <c r="L17" s="24"/>
      <c r="M17" s="24"/>
      <c r="N17" s="24"/>
      <c r="O17" s="24"/>
      <c r="P17" s="24">
        <v>0.833777556158129</v>
      </c>
      <c r="Q17" s="24"/>
      <c r="R17" s="24">
        <v>0.06702332046571405</v>
      </c>
      <c r="S17" s="24"/>
      <c r="T17" s="24">
        <v>0.0029380085683600675</v>
      </c>
      <c r="U17" s="24"/>
      <c r="V17" s="24"/>
      <c r="W17" s="24"/>
      <c r="X17" s="465">
        <v>0.08329107390872373</v>
      </c>
      <c r="Y17" s="118"/>
      <c r="Z17" s="118"/>
      <c r="AA17" s="118"/>
      <c r="AB17" s="118"/>
      <c r="AC17" s="118"/>
      <c r="AD17" s="465">
        <v>0.027258896915582316</v>
      </c>
      <c r="AE17" s="465">
        <f>(Veg!$E$8/Veg!$B$8)</f>
        <v>1.9977153532813334</v>
      </c>
      <c r="AF17" s="483">
        <f t="shared" si="0"/>
        <v>0.16639185713874768</v>
      </c>
      <c r="AG17" s="1134">
        <v>0.05312</v>
      </c>
      <c r="AH17" s="1134"/>
    </row>
    <row r="18" spans="1:34" ht="12.75">
      <c r="A18" t="s">
        <v>490</v>
      </c>
      <c r="B18" s="24">
        <v>0.40191646559325084</v>
      </c>
      <c r="C18" s="24"/>
      <c r="D18" s="24"/>
      <c r="E18" s="24"/>
      <c r="F18" s="24"/>
      <c r="G18" s="24"/>
      <c r="H18" s="24"/>
      <c r="I18" s="24"/>
      <c r="J18" s="24"/>
      <c r="K18" s="24"/>
      <c r="L18" s="24"/>
      <c r="M18" s="24"/>
      <c r="N18" s="24"/>
      <c r="O18" s="24"/>
      <c r="P18" s="24">
        <v>0.824033566546505</v>
      </c>
      <c r="Q18" s="24"/>
      <c r="R18" s="24">
        <v>0.07072380699667855</v>
      </c>
      <c r="S18" s="24"/>
      <c r="T18" s="24">
        <v>0.0031002216765667313</v>
      </c>
      <c r="U18" s="24"/>
      <c r="V18" s="24"/>
      <c r="W18" s="24"/>
      <c r="X18" s="465">
        <v>0.08788973441982854</v>
      </c>
      <c r="Y18" s="118"/>
      <c r="Z18" s="118"/>
      <c r="AA18" s="118"/>
      <c r="AB18" s="118"/>
      <c r="AC18" s="118"/>
      <c r="AD18" s="465">
        <v>0.023541893148168354</v>
      </c>
      <c r="AE18" s="465">
        <f>(Veg!$E$8/Veg!$B$8)</f>
        <v>1.9977153532813334</v>
      </c>
      <c r="AF18" s="483">
        <f t="shared" si="0"/>
        <v>0.17557867184631035</v>
      </c>
      <c r="AG18" s="1134">
        <v>0.04752</v>
      </c>
      <c r="AH18" s="1134"/>
    </row>
    <row r="19" spans="2:34" ht="12.75">
      <c r="B19" s="24"/>
      <c r="C19" s="24"/>
      <c r="D19" s="24"/>
      <c r="E19" s="24"/>
      <c r="F19" s="24"/>
      <c r="G19" s="24"/>
      <c r="H19" s="24"/>
      <c r="I19" s="24"/>
      <c r="J19" s="24"/>
      <c r="K19" s="24"/>
      <c r="L19" s="24"/>
      <c r="M19" s="24"/>
      <c r="N19" s="24"/>
      <c r="O19" s="24"/>
      <c r="P19" s="24"/>
      <c r="Q19" s="24"/>
      <c r="R19" s="24"/>
      <c r="S19" s="24"/>
      <c r="T19" s="24"/>
      <c r="U19" s="24"/>
      <c r="V19" s="24"/>
      <c r="W19" s="24"/>
      <c r="X19" s="465"/>
      <c r="Y19" s="118"/>
      <c r="Z19" s="118"/>
      <c r="AA19" s="118"/>
      <c r="AB19" s="118"/>
      <c r="AC19" s="118"/>
      <c r="AD19" s="465"/>
      <c r="AF19" s="483"/>
      <c r="AG19" s="129"/>
      <c r="AH19" s="129"/>
    </row>
    <row r="20" spans="1:34" s="8" customFormat="1" ht="12.75">
      <c r="A20" s="8" t="s">
        <v>770</v>
      </c>
      <c r="B20" s="485"/>
      <c r="C20" s="485"/>
      <c r="D20" s="485"/>
      <c r="E20" s="485"/>
      <c r="F20" s="485"/>
      <c r="G20" s="485"/>
      <c r="H20" s="485"/>
      <c r="I20" s="485"/>
      <c r="J20" s="485"/>
      <c r="K20" s="485"/>
      <c r="L20" s="485"/>
      <c r="M20" s="485"/>
      <c r="N20" s="485"/>
      <c r="O20" s="485"/>
      <c r="P20" s="485"/>
      <c r="Q20" s="485"/>
      <c r="R20" s="485"/>
      <c r="S20" s="485"/>
      <c r="T20" s="485"/>
      <c r="U20" s="485"/>
      <c r="V20" s="485"/>
      <c r="W20" s="485"/>
      <c r="X20" s="468">
        <f>SUM(X21:X28)</f>
        <v>48.716086010469</v>
      </c>
      <c r="Y20" s="468"/>
      <c r="Z20" s="468"/>
      <c r="AA20" s="468"/>
      <c r="AB20" s="468"/>
      <c r="AC20" s="468"/>
      <c r="AD20" s="468">
        <f>SUM(AD21:AD28)</f>
        <v>11.652105606209307</v>
      </c>
      <c r="AE20" s="469"/>
      <c r="AF20" s="468">
        <f>SUM(AF21:AF28)</f>
        <v>160.33388868216136</v>
      </c>
      <c r="AG20" s="487">
        <f>SUM(AG21:AG28)</f>
        <v>60.45375</v>
      </c>
      <c r="AH20" s="487"/>
    </row>
    <row r="21" spans="1:34" ht="12.75">
      <c r="A21" t="s">
        <v>492</v>
      </c>
      <c r="B21" s="24">
        <v>4.329678994571147</v>
      </c>
      <c r="C21" s="24"/>
      <c r="D21" s="24"/>
      <c r="E21" s="24"/>
      <c r="F21" s="24"/>
      <c r="G21" s="24"/>
      <c r="H21" s="24"/>
      <c r="I21" s="24"/>
      <c r="J21" s="24"/>
      <c r="K21" s="24"/>
      <c r="L21" s="24"/>
      <c r="M21" s="24"/>
      <c r="N21" s="24"/>
      <c r="O21" s="24"/>
      <c r="P21" s="24">
        <v>0.543091904887801</v>
      </c>
      <c r="Q21" s="24"/>
      <c r="R21" s="24">
        <v>1.978265381856803</v>
      </c>
      <c r="S21" s="24"/>
      <c r="T21" s="24">
        <v>0.08671848249235299</v>
      </c>
      <c r="U21" s="24"/>
      <c r="V21" s="24"/>
      <c r="W21" s="24"/>
      <c r="X21" s="118">
        <v>2.458425619416961</v>
      </c>
      <c r="Y21" s="118"/>
      <c r="Z21" s="118"/>
      <c r="AA21" s="118"/>
      <c r="AB21" s="118"/>
      <c r="AC21" s="118"/>
      <c r="AD21" s="465">
        <v>0.39160762079208233</v>
      </c>
      <c r="AE21" s="465">
        <f>Veg!$E$9/Veg!$B$9</f>
        <v>3.2911898679156177</v>
      </c>
      <c r="AF21" s="477">
        <f aca="true" t="shared" si="1" ref="AF21:AF28">X21*AE21</f>
        <v>8.091145489649278</v>
      </c>
      <c r="AG21" s="1134">
        <v>2.9932999999999996</v>
      </c>
      <c r="AH21" s="1134"/>
    </row>
    <row r="22" spans="1:35" ht="12.75">
      <c r="A22" t="s">
        <v>493</v>
      </c>
      <c r="B22" s="24">
        <v>7.84392173217338</v>
      </c>
      <c r="C22" s="24"/>
      <c r="D22" s="24"/>
      <c r="E22" s="24"/>
      <c r="F22" s="24"/>
      <c r="G22" s="24"/>
      <c r="H22" s="24"/>
      <c r="I22" s="24"/>
      <c r="J22" s="24"/>
      <c r="K22" s="24"/>
      <c r="L22" s="24"/>
      <c r="M22" s="24"/>
      <c r="N22" s="24"/>
      <c r="O22" s="24"/>
      <c r="P22" s="24">
        <v>49.392074768273176</v>
      </c>
      <c r="Q22" s="24"/>
      <c r="R22" s="24">
        <v>3.9696460454534757</v>
      </c>
      <c r="S22" s="24"/>
      <c r="T22" s="24">
        <v>0.17401188144453592</v>
      </c>
      <c r="U22" s="24"/>
      <c r="V22" s="24"/>
      <c r="W22" s="24"/>
      <c r="X22" s="118">
        <v>4.93314983301187</v>
      </c>
      <c r="Y22" s="118"/>
      <c r="Z22" s="118"/>
      <c r="AA22" s="118"/>
      <c r="AB22" s="118"/>
      <c r="AC22" s="118"/>
      <c r="AD22" s="118">
        <v>2.0040921196610726</v>
      </c>
      <c r="AE22" s="465">
        <f>Veg!$E$9/Veg!$B$9</f>
        <v>3.2911898679156177</v>
      </c>
      <c r="AF22" s="477">
        <f t="shared" si="1"/>
        <v>16.23593274731829</v>
      </c>
      <c r="AG22" s="1134">
        <v>6.658399999999999</v>
      </c>
      <c r="AH22" s="1134"/>
      <c r="AI22" s="465"/>
    </row>
    <row r="23" spans="1:34" ht="12.75">
      <c r="A23" s="14" t="s">
        <v>676</v>
      </c>
      <c r="B23" s="24">
        <v>0.8884229080084571</v>
      </c>
      <c r="C23" s="24"/>
      <c r="D23" s="24"/>
      <c r="E23" s="24"/>
      <c r="F23" s="24"/>
      <c r="G23" s="24"/>
      <c r="H23" s="24"/>
      <c r="I23" s="24"/>
      <c r="J23" s="24"/>
      <c r="K23" s="24"/>
      <c r="L23" s="24"/>
      <c r="M23" s="24"/>
      <c r="N23" s="24"/>
      <c r="O23" s="24"/>
      <c r="P23" s="24">
        <v>51.355000000000004</v>
      </c>
      <c r="Q23" s="24"/>
      <c r="R23" s="24">
        <v>0.43217332360071403</v>
      </c>
      <c r="S23" s="24"/>
      <c r="T23" s="24">
        <v>0.018944584048250477</v>
      </c>
      <c r="U23" s="24"/>
      <c r="V23" s="24"/>
      <c r="W23" s="24"/>
      <c r="X23" s="118">
        <v>0.5370694854758769</v>
      </c>
      <c r="Y23" s="118"/>
      <c r="Z23" s="118"/>
      <c r="AA23" s="118"/>
      <c r="AB23" s="118"/>
      <c r="AC23" s="118"/>
      <c r="AD23" s="465">
        <v>0.1324280923091203</v>
      </c>
      <c r="AE23" s="465">
        <f>Veg!$E$9/Veg!$B$9</f>
        <v>3.2911898679156177</v>
      </c>
      <c r="AF23" s="477">
        <f t="shared" si="1"/>
        <v>1.76759764896486</v>
      </c>
      <c r="AG23" s="1134">
        <v>0.4425</v>
      </c>
      <c r="AH23" s="1134"/>
    </row>
    <row r="24" spans="1:34" ht="12.75">
      <c r="A24" s="14" t="s">
        <v>675</v>
      </c>
      <c r="B24" s="24">
        <v>1.6113715001245812</v>
      </c>
      <c r="C24" s="24"/>
      <c r="D24" s="24"/>
      <c r="E24" s="24"/>
      <c r="F24" s="24"/>
      <c r="G24" s="24"/>
      <c r="H24" s="24"/>
      <c r="I24" s="24"/>
      <c r="J24" s="24"/>
      <c r="K24" s="24"/>
      <c r="L24" s="24"/>
      <c r="M24" s="24"/>
      <c r="N24" s="24"/>
      <c r="O24" s="24"/>
      <c r="P24" s="24">
        <v>65.91212200000001</v>
      </c>
      <c r="Q24" s="24"/>
      <c r="R24" s="24">
        <v>0.5492823510892371</v>
      </c>
      <c r="S24" s="24"/>
      <c r="T24" s="24">
        <v>0.02407813045870628</v>
      </c>
      <c r="U24" s="24"/>
      <c r="V24" s="24"/>
      <c r="W24" s="24"/>
      <c r="X24" s="118">
        <v>0.6826029594390937</v>
      </c>
      <c r="Y24" s="118"/>
      <c r="Z24" s="118"/>
      <c r="AA24" s="118"/>
      <c r="AB24" s="118"/>
      <c r="AC24" s="118"/>
      <c r="AD24" s="465">
        <v>0.25246958773774697</v>
      </c>
      <c r="AE24" s="465">
        <f>Veg!$E$9/Veg!$B$9</f>
        <v>3.2911898679156177</v>
      </c>
      <c r="AF24" s="477">
        <f t="shared" si="1"/>
        <v>2.2465759439151602</v>
      </c>
      <c r="AG24" s="1134">
        <v>0.8325</v>
      </c>
      <c r="AH24" s="1134"/>
    </row>
    <row r="25" spans="1:34" ht="12.75">
      <c r="A25" t="s">
        <v>494</v>
      </c>
      <c r="B25" s="24">
        <v>4.62877824505816</v>
      </c>
      <c r="C25" s="24"/>
      <c r="D25" s="24"/>
      <c r="E25" s="24"/>
      <c r="F25" s="24"/>
      <c r="G25" s="24"/>
      <c r="H25" s="24"/>
      <c r="I25" s="24"/>
      <c r="J25" s="24"/>
      <c r="K25" s="24"/>
      <c r="L25" s="24"/>
      <c r="M25" s="24"/>
      <c r="N25" s="24"/>
      <c r="O25" s="24"/>
      <c r="P25" s="24">
        <v>0.992011200243046</v>
      </c>
      <c r="Q25" s="24"/>
      <c r="R25" s="24">
        <v>0.03697838251911438</v>
      </c>
      <c r="S25" s="24"/>
      <c r="T25" s="24">
        <v>0.0016209701926187124</v>
      </c>
      <c r="U25" s="24"/>
      <c r="V25" s="24"/>
      <c r="W25" s="24"/>
      <c r="X25" s="465">
        <v>0.045953694475644194</v>
      </c>
      <c r="Y25" s="465"/>
      <c r="Z25" s="465"/>
      <c r="AA25" s="465"/>
      <c r="AB25" s="465"/>
      <c r="AC25" s="465"/>
      <c r="AD25" s="465">
        <v>0.011884576157494189</v>
      </c>
      <c r="AE25" s="465">
        <f>Veg!$E$9/Veg!$B$9</f>
        <v>3.2911898679156177</v>
      </c>
      <c r="AF25" s="483">
        <f t="shared" si="1"/>
        <v>0.15124233365153006</v>
      </c>
      <c r="AG25" s="1134">
        <v>0.039</v>
      </c>
      <c r="AH25" s="1134"/>
    </row>
    <row r="26" spans="1:34" ht="12.75">
      <c r="A26" t="s">
        <v>495</v>
      </c>
      <c r="B26" s="24">
        <v>5.237726434417962</v>
      </c>
      <c r="C26" s="24"/>
      <c r="D26" s="24"/>
      <c r="E26" s="24"/>
      <c r="F26" s="24"/>
      <c r="G26" s="24"/>
      <c r="H26" s="24"/>
      <c r="I26" s="24"/>
      <c r="J26" s="24"/>
      <c r="K26" s="24"/>
      <c r="L26" s="24"/>
      <c r="M26" s="24"/>
      <c r="N26" s="24"/>
      <c r="O26" s="24"/>
      <c r="P26" s="24">
        <v>0.783734700542092</v>
      </c>
      <c r="Q26" s="24"/>
      <c r="R26" s="24">
        <v>1.132738475818003</v>
      </c>
      <c r="S26" s="24"/>
      <c r="T26" s="24">
        <v>0.04965428935092616</v>
      </c>
      <c r="U26" s="24"/>
      <c r="V26" s="24"/>
      <c r="W26" s="24"/>
      <c r="X26" s="118">
        <v>1.4076742759540812</v>
      </c>
      <c r="Y26" s="118"/>
      <c r="Z26" s="118"/>
      <c r="AA26" s="118"/>
      <c r="AB26" s="118"/>
      <c r="AC26" s="118"/>
      <c r="AD26" s="118">
        <v>1.6610556456258159</v>
      </c>
      <c r="AE26" s="465">
        <f>Veg!$E$9/Veg!$B$9</f>
        <v>3.2911898679156177</v>
      </c>
      <c r="AF26" s="477">
        <f t="shared" si="1"/>
        <v>4.6329233143455255</v>
      </c>
      <c r="AG26" s="1134">
        <v>4.167</v>
      </c>
      <c r="AH26" s="1134"/>
    </row>
    <row r="27" spans="1:34" ht="12.75">
      <c r="A27" t="s">
        <v>496</v>
      </c>
      <c r="B27" s="24">
        <v>19.588609364940528</v>
      </c>
      <c r="C27" s="24"/>
      <c r="D27" s="24"/>
      <c r="E27" s="24"/>
      <c r="F27" s="24"/>
      <c r="G27" s="24"/>
      <c r="H27" s="24"/>
      <c r="I27" s="24"/>
      <c r="J27" s="24"/>
      <c r="K27" s="24"/>
      <c r="L27" s="24"/>
      <c r="M27" s="24"/>
      <c r="N27" s="24"/>
      <c r="O27" s="24"/>
      <c r="P27" s="24">
        <v>38.01201130252544</v>
      </c>
      <c r="Q27" s="24"/>
      <c r="R27" s="24">
        <v>12.14258495913178</v>
      </c>
      <c r="S27" s="24"/>
      <c r="T27" s="24">
        <v>0.5322776968386533</v>
      </c>
      <c r="U27" s="24"/>
      <c r="V27" s="24"/>
      <c r="W27" s="24"/>
      <c r="X27" s="118">
        <v>15.089806566527404</v>
      </c>
      <c r="Y27" s="118"/>
      <c r="Z27" s="118"/>
      <c r="AA27" s="118"/>
      <c r="AB27" s="118"/>
      <c r="AC27" s="118"/>
      <c r="AD27" s="118">
        <v>2.6826322784937604</v>
      </c>
      <c r="AE27" s="465">
        <f>Veg!$E$9/Veg!$B$9</f>
        <v>3.2911898679156177</v>
      </c>
      <c r="AF27" s="477">
        <f t="shared" si="1"/>
        <v>49.663418480561546</v>
      </c>
      <c r="AG27" s="1134">
        <v>8.938799999999999</v>
      </c>
      <c r="AH27" s="1134"/>
    </row>
    <row r="28" spans="1:34" ht="12.75">
      <c r="A28" s="14" t="s">
        <v>674</v>
      </c>
      <c r="B28" s="24">
        <v>68.32575347296572</v>
      </c>
      <c r="C28" s="24"/>
      <c r="D28" s="24"/>
      <c r="E28" s="24"/>
      <c r="F28" s="24"/>
      <c r="G28" s="24"/>
      <c r="H28" s="24"/>
      <c r="I28" s="24"/>
      <c r="J28" s="24"/>
      <c r="K28" s="24"/>
      <c r="L28" s="24"/>
      <c r="M28" s="24"/>
      <c r="N28" s="24"/>
      <c r="O28" s="24"/>
      <c r="P28" s="24">
        <v>72.2512</v>
      </c>
      <c r="Q28" s="24"/>
      <c r="R28" s="24">
        <v>18.959576679706316</v>
      </c>
      <c r="S28" s="24"/>
      <c r="T28" s="24">
        <v>0.8311047311652084</v>
      </c>
      <c r="U28" s="24"/>
      <c r="V28" s="24"/>
      <c r="W28" s="24"/>
      <c r="X28" s="118">
        <v>23.561403576168072</v>
      </c>
      <c r="Y28" s="118"/>
      <c r="Z28" s="118"/>
      <c r="AA28" s="118"/>
      <c r="AB28" s="118"/>
      <c r="AC28" s="118"/>
      <c r="AD28" s="118">
        <v>4.515935685432214</v>
      </c>
      <c r="AE28" s="465">
        <f>Veg!$E$9/Veg!$B$9</f>
        <v>3.2911898679156177</v>
      </c>
      <c r="AF28" s="477">
        <f t="shared" si="1"/>
        <v>77.54505272375516</v>
      </c>
      <c r="AG28" s="1134">
        <v>36.382250000000006</v>
      </c>
      <c r="AH28" s="1134"/>
    </row>
    <row r="29" spans="1:34" ht="12.75">
      <c r="A29" s="14"/>
      <c r="B29" s="24"/>
      <c r="C29" s="24"/>
      <c r="D29" s="24"/>
      <c r="E29" s="24"/>
      <c r="F29" s="24"/>
      <c r="G29" s="24"/>
      <c r="H29" s="24"/>
      <c r="I29" s="24"/>
      <c r="J29" s="24"/>
      <c r="K29" s="24"/>
      <c r="L29" s="24"/>
      <c r="M29" s="24"/>
      <c r="N29" s="24"/>
      <c r="O29" s="24"/>
      <c r="P29" s="24"/>
      <c r="Q29" s="24"/>
      <c r="R29" s="24"/>
      <c r="S29" s="24"/>
      <c r="T29" s="24"/>
      <c r="U29" s="24"/>
      <c r="V29" s="24"/>
      <c r="W29" s="24"/>
      <c r="X29" s="118"/>
      <c r="Y29" s="118"/>
      <c r="Z29" s="118"/>
      <c r="AA29" s="118"/>
      <c r="AB29" s="118"/>
      <c r="AC29" s="118"/>
      <c r="AD29" s="118"/>
      <c r="AF29" s="477"/>
      <c r="AG29" s="1134"/>
      <c r="AH29" s="1134"/>
    </row>
    <row r="30" spans="1:34" ht="12.75">
      <c r="A30" s="8" t="s">
        <v>771</v>
      </c>
      <c r="B30" s="485"/>
      <c r="C30" s="485"/>
      <c r="D30" s="485"/>
      <c r="E30" s="485"/>
      <c r="F30" s="485"/>
      <c r="G30" s="485"/>
      <c r="H30" s="485"/>
      <c r="I30" s="485"/>
      <c r="J30" s="485"/>
      <c r="K30" s="485"/>
      <c r="L30" s="485"/>
      <c r="M30" s="485"/>
      <c r="N30" s="485"/>
      <c r="O30" s="485"/>
      <c r="P30" s="485"/>
      <c r="Q30" s="485"/>
      <c r="R30" s="485"/>
      <c r="S30" s="485"/>
      <c r="T30" s="485"/>
      <c r="U30" s="485"/>
      <c r="V30" s="485"/>
      <c r="W30" s="485"/>
      <c r="X30" s="468">
        <f>SUM(X31:X41)</f>
        <v>73.15105047675672</v>
      </c>
      <c r="Y30" s="468"/>
      <c r="Z30" s="468"/>
      <c r="AA30" s="468"/>
      <c r="AB30" s="468"/>
      <c r="AC30" s="468"/>
      <c r="AD30" s="468">
        <f>SUM(AD31:AD41)</f>
        <v>59.724988641956074</v>
      </c>
      <c r="AE30" s="469"/>
      <c r="AF30" s="468">
        <f>SUM(AF31:AF41)</f>
        <v>92.22316113136782</v>
      </c>
      <c r="AG30" s="487">
        <f>SUM(AG31:AG41)</f>
        <v>80.66016692824103</v>
      </c>
      <c r="AH30" s="487"/>
    </row>
    <row r="31" spans="1:35" ht="12.75">
      <c r="A31" s="14" t="s">
        <v>498</v>
      </c>
      <c r="B31" s="24">
        <v>9.023258037280348</v>
      </c>
      <c r="C31" s="24"/>
      <c r="D31" s="24"/>
      <c r="E31" s="24"/>
      <c r="F31" s="24"/>
      <c r="G31" s="24"/>
      <c r="H31" s="24"/>
      <c r="I31" s="24"/>
      <c r="J31" s="24"/>
      <c r="K31" s="24"/>
      <c r="L31" s="24"/>
      <c r="M31" s="24"/>
      <c r="N31" s="24"/>
      <c r="O31" s="24"/>
      <c r="P31" s="24">
        <v>96.34250479429215</v>
      </c>
      <c r="Q31" s="24"/>
      <c r="R31" s="24">
        <v>0.3300252301121757</v>
      </c>
      <c r="S31" s="24"/>
      <c r="T31" s="24">
        <v>0.014466859402177568</v>
      </c>
      <c r="U31" s="24"/>
      <c r="V31" s="24"/>
      <c r="W31" s="24"/>
      <c r="X31" s="465">
        <v>0.41012823062203285</v>
      </c>
      <c r="Y31" s="465"/>
      <c r="Z31" s="465"/>
      <c r="AA31" s="465"/>
      <c r="AB31" s="465"/>
      <c r="AC31" s="465"/>
      <c r="AD31" s="465">
        <v>0.35153848339031385</v>
      </c>
      <c r="AE31" s="465">
        <f>Veg!$E$10/Veg!$B$10</f>
        <v>1.2607223072028357</v>
      </c>
      <c r="AF31" s="477">
        <f aca="true" t="shared" si="2" ref="AF31:AF41">X31*AE31</f>
        <v>0.5170578091588259</v>
      </c>
      <c r="AG31" s="1134">
        <v>0.49920000000000003</v>
      </c>
      <c r="AH31" s="1134"/>
      <c r="AI31" s="465"/>
    </row>
    <row r="32" spans="1:34" ht="12.75">
      <c r="A32" s="14" t="s">
        <v>678</v>
      </c>
      <c r="B32" s="24">
        <v>7.276598540121522</v>
      </c>
      <c r="C32" s="24"/>
      <c r="D32" s="24"/>
      <c r="E32" s="24"/>
      <c r="F32" s="24"/>
      <c r="G32" s="24"/>
      <c r="H32" s="24"/>
      <c r="I32" s="24"/>
      <c r="J32" s="24"/>
      <c r="K32" s="24"/>
      <c r="L32" s="24"/>
      <c r="M32" s="24"/>
      <c r="N32" s="24"/>
      <c r="O32" s="24"/>
      <c r="P32" s="24">
        <v>36.1834</v>
      </c>
      <c r="Q32" s="24"/>
      <c r="R32" s="24">
        <v>4.643677783955191</v>
      </c>
      <c r="S32" s="24"/>
      <c r="T32" s="24">
        <v>0.20355847820077547</v>
      </c>
      <c r="U32" s="24"/>
      <c r="V32" s="24"/>
      <c r="W32" s="24"/>
      <c r="X32" s="118">
        <v>5.7707810777528845</v>
      </c>
      <c r="Y32" s="118"/>
      <c r="Z32" s="118"/>
      <c r="AA32" s="118"/>
      <c r="AB32" s="118"/>
      <c r="AC32" s="118"/>
      <c r="AD32" s="118">
        <v>4.679962703299595</v>
      </c>
      <c r="AE32" s="465">
        <f>Veg!$E$10/Veg!$B$10</f>
        <v>1.2607223072028357</v>
      </c>
      <c r="AF32" s="477">
        <f t="shared" si="2"/>
        <v>7.2753524347070835</v>
      </c>
      <c r="AG32" s="1134">
        <v>5.629866666666667</v>
      </c>
      <c r="AH32" s="1134"/>
    </row>
    <row r="33" spans="1:34" ht="12.75">
      <c r="A33" s="14" t="s">
        <v>679</v>
      </c>
      <c r="B33" s="24">
        <v>9.253216620558547</v>
      </c>
      <c r="C33" s="24"/>
      <c r="D33" s="24"/>
      <c r="E33" s="24"/>
      <c r="F33" s="24"/>
      <c r="G33" s="24"/>
      <c r="H33" s="24"/>
      <c r="I33" s="24"/>
      <c r="J33" s="24"/>
      <c r="K33" s="24"/>
      <c r="L33" s="24"/>
      <c r="M33" s="24"/>
      <c r="N33" s="24"/>
      <c r="O33" s="24"/>
      <c r="P33" s="24">
        <v>83.74055680000001</v>
      </c>
      <c r="Q33" s="24"/>
      <c r="R33" s="24">
        <v>1.5045215005926764</v>
      </c>
      <c r="S33" s="24"/>
      <c r="T33" s="24">
        <v>0.06595162742324061</v>
      </c>
      <c r="U33" s="24"/>
      <c r="V33" s="24"/>
      <c r="W33" s="24"/>
      <c r="X33" s="118">
        <v>1.8696956616351597</v>
      </c>
      <c r="Y33" s="118"/>
      <c r="Z33" s="118"/>
      <c r="AA33" s="118"/>
      <c r="AB33" s="118"/>
      <c r="AC33" s="118"/>
      <c r="AD33" s="118">
        <v>1.5162775792529035</v>
      </c>
      <c r="AE33" s="465">
        <f>Veg!$E$10/Veg!$B$10</f>
        <v>1.2607223072028357</v>
      </c>
      <c r="AF33" s="477">
        <f t="shared" si="2"/>
        <v>2.357167028303811</v>
      </c>
      <c r="AG33" s="1134">
        <v>1.9116</v>
      </c>
      <c r="AH33" s="1134"/>
    </row>
    <row r="34" spans="1:34" ht="12.75">
      <c r="A34" s="14" t="s">
        <v>499</v>
      </c>
      <c r="B34" s="24">
        <v>1.192489154613789</v>
      </c>
      <c r="C34" s="24"/>
      <c r="D34" s="24"/>
      <c r="E34" s="24"/>
      <c r="F34" s="24"/>
      <c r="G34" s="24"/>
      <c r="H34" s="24"/>
      <c r="I34" s="24"/>
      <c r="J34" s="24"/>
      <c r="K34" s="24"/>
      <c r="L34" s="24"/>
      <c r="M34" s="24"/>
      <c r="N34" s="24"/>
      <c r="O34" s="24"/>
      <c r="P34" s="24">
        <v>52.849599999999995</v>
      </c>
      <c r="Q34" s="24"/>
      <c r="R34" s="24">
        <v>0.5622634063570201</v>
      </c>
      <c r="S34" s="24"/>
      <c r="T34" s="24">
        <v>0.02464716301838992</v>
      </c>
      <c r="U34" s="24"/>
      <c r="V34" s="24"/>
      <c r="W34" s="24"/>
      <c r="X34" s="118">
        <v>0.6987347479898449</v>
      </c>
      <c r="Y34" s="118"/>
      <c r="Z34" s="118"/>
      <c r="AA34" s="118"/>
      <c r="AB34" s="118"/>
      <c r="AC34" s="118"/>
      <c r="AD34" s="465">
        <v>0.480893914793011</v>
      </c>
      <c r="AE34" s="465">
        <f>Veg!$E$10/Veg!$B$10</f>
        <v>1.2607223072028357</v>
      </c>
      <c r="AF34" s="477">
        <f t="shared" si="2"/>
        <v>0.8809104836085493</v>
      </c>
      <c r="AG34" s="1134">
        <v>0.5984</v>
      </c>
      <c r="AH34" s="1134"/>
    </row>
    <row r="35" spans="1:34" ht="12.75">
      <c r="A35" s="14" t="s">
        <v>680</v>
      </c>
      <c r="B35" s="24">
        <v>1.6955479409129872</v>
      </c>
      <c r="C35" s="24"/>
      <c r="D35" s="24"/>
      <c r="E35" s="24"/>
      <c r="F35" s="24"/>
      <c r="G35" s="24"/>
      <c r="H35" s="24"/>
      <c r="I35" s="24"/>
      <c r="J35" s="24"/>
      <c r="K35" s="24"/>
      <c r="L35" s="24"/>
      <c r="M35" s="24"/>
      <c r="N35" s="24"/>
      <c r="O35" s="24"/>
      <c r="P35" s="24">
        <v>34.458800800000006</v>
      </c>
      <c r="Q35" s="24"/>
      <c r="R35" s="24">
        <v>1.1112824534852794</v>
      </c>
      <c r="S35" s="24"/>
      <c r="T35" s="24">
        <v>0.048713751385656076</v>
      </c>
      <c r="U35" s="24"/>
      <c r="V35" s="24"/>
      <c r="W35" s="24"/>
      <c r="X35" s="118">
        <v>1.3810104949076574</v>
      </c>
      <c r="Y35" s="118"/>
      <c r="Z35" s="118"/>
      <c r="AA35" s="118"/>
      <c r="AB35" s="118"/>
      <c r="AC35" s="118"/>
      <c r="AD35" s="118">
        <v>1.078914449146607</v>
      </c>
      <c r="AE35" s="465">
        <f>Veg!$E$10/Veg!$B$10</f>
        <v>1.2607223072028357</v>
      </c>
      <c r="AF35" s="477">
        <f t="shared" si="2"/>
        <v>1.741070737411312</v>
      </c>
      <c r="AG35" s="1134">
        <v>1.131</v>
      </c>
      <c r="AH35" s="1134"/>
    </row>
    <row r="36" spans="1:34" ht="12.75">
      <c r="A36" s="14" t="s">
        <v>501</v>
      </c>
      <c r="B36" s="24">
        <v>0.024635852720121247</v>
      </c>
      <c r="C36" s="24"/>
      <c r="D36" s="24"/>
      <c r="E36" s="24"/>
      <c r="F36" s="24"/>
      <c r="G36" s="24"/>
      <c r="H36" s="24"/>
      <c r="I36" s="24"/>
      <c r="J36" s="24"/>
      <c r="K36" s="24"/>
      <c r="L36" s="24"/>
      <c r="M36" s="24"/>
      <c r="N36" s="24"/>
      <c r="O36" s="24"/>
      <c r="P36" s="24">
        <v>86.23679999999999</v>
      </c>
      <c r="Q36" s="24"/>
      <c r="R36" s="24">
        <v>0.0033906816815757273</v>
      </c>
      <c r="S36" s="24"/>
      <c r="T36" s="24">
        <v>0.0001486326216581141</v>
      </c>
      <c r="U36" s="24"/>
      <c r="V36" s="24"/>
      <c r="W36" s="24"/>
      <c r="X36" s="465">
        <v>0.004213660507696705</v>
      </c>
      <c r="Y36" s="465"/>
      <c r="Z36" s="465"/>
      <c r="AA36" s="465"/>
      <c r="AB36" s="465"/>
      <c r="AC36" s="465"/>
      <c r="AD36" s="465">
        <v>0.004753873393298847</v>
      </c>
      <c r="AE36" s="465">
        <f>Veg!$E$10/Veg!$B$10</f>
        <v>1.2607223072028357</v>
      </c>
      <c r="AF36" s="483">
        <f t="shared" si="2"/>
        <v>0.0053122557970328626</v>
      </c>
      <c r="AG36" s="1134">
        <f>AD36*AE36</f>
        <v>0.0059933142325498965</v>
      </c>
      <c r="AH36" s="1134"/>
    </row>
    <row r="37" spans="1:34" ht="12.75">
      <c r="A37" s="14" t="s">
        <v>693</v>
      </c>
      <c r="B37" s="24">
        <v>0.3231437988667468</v>
      </c>
      <c r="C37" s="24"/>
      <c r="D37" s="24"/>
      <c r="E37" s="24"/>
      <c r="F37" s="24"/>
      <c r="G37" s="24"/>
      <c r="H37" s="24"/>
      <c r="I37" s="24"/>
      <c r="J37" s="24"/>
      <c r="K37" s="24"/>
      <c r="L37" s="24"/>
      <c r="M37" s="24"/>
      <c r="N37" s="24"/>
      <c r="O37" s="24"/>
      <c r="P37" s="24">
        <v>34.647619047619045</v>
      </c>
      <c r="Q37" s="24"/>
      <c r="R37" s="24">
        <v>0.21118216645939203</v>
      </c>
      <c r="S37" s="24"/>
      <c r="T37" s="24">
        <v>0.009257300447534993</v>
      </c>
      <c r="U37" s="24"/>
      <c r="V37" s="24"/>
      <c r="W37" s="24"/>
      <c r="X37" s="465">
        <v>0.26243983903739326</v>
      </c>
      <c r="Y37" s="465"/>
      <c r="Z37" s="465"/>
      <c r="AA37" s="465"/>
      <c r="AB37" s="465"/>
      <c r="AC37" s="465"/>
      <c r="AD37" s="465">
        <v>0.2755618309892629</v>
      </c>
      <c r="AE37" s="465">
        <f>Veg!$E$10/Veg!$B$10</f>
        <v>1.2607223072028357</v>
      </c>
      <c r="AF37" s="483">
        <f t="shared" si="2"/>
        <v>0.33086375937316326</v>
      </c>
      <c r="AG37" s="1134">
        <f>AD37*AE37</f>
        <v>0.3474069473418214</v>
      </c>
      <c r="AH37" s="1134"/>
    </row>
    <row r="38" spans="1:34" ht="12.75">
      <c r="A38" s="14" t="s">
        <v>503</v>
      </c>
      <c r="B38" s="24">
        <v>37.432191124455045</v>
      </c>
      <c r="C38" s="24"/>
      <c r="D38" s="24"/>
      <c r="E38" s="24"/>
      <c r="F38" s="24"/>
      <c r="G38" s="24"/>
      <c r="H38" s="24"/>
      <c r="I38" s="24"/>
      <c r="J38" s="24"/>
      <c r="K38" s="24"/>
      <c r="L38" s="24"/>
      <c r="M38" s="24"/>
      <c r="N38" s="24"/>
      <c r="O38" s="24"/>
      <c r="P38" s="24">
        <v>24.60094786546712</v>
      </c>
      <c r="Q38" s="24"/>
      <c r="R38" s="24">
        <v>28.22351730102585</v>
      </c>
      <c r="S38" s="24"/>
      <c r="T38" s="24">
        <v>1.2371952789490783</v>
      </c>
      <c r="U38" s="24"/>
      <c r="V38" s="24"/>
      <c r="W38" s="24"/>
      <c r="X38" s="118">
        <v>35.073867560566896</v>
      </c>
      <c r="Y38" s="118"/>
      <c r="Z38" s="118"/>
      <c r="AA38" s="118"/>
      <c r="AB38" s="118"/>
      <c r="AC38" s="118"/>
      <c r="AD38" s="118">
        <v>24.551707292396827</v>
      </c>
      <c r="AE38" s="465">
        <f>Veg!$E$10/Veg!$B$10</f>
        <v>1.2607223072028357</v>
      </c>
      <c r="AF38" s="477">
        <f t="shared" si="2"/>
        <v>44.21840723348459</v>
      </c>
      <c r="AG38" s="1134">
        <v>34.0494</v>
      </c>
      <c r="AH38" s="1134"/>
    </row>
    <row r="39" spans="1:34" ht="12.75">
      <c r="A39" s="14" t="s">
        <v>681</v>
      </c>
      <c r="B39" s="24">
        <v>0.8301834809986582</v>
      </c>
      <c r="C39" s="24"/>
      <c r="D39" s="24"/>
      <c r="E39" s="24"/>
      <c r="F39" s="24"/>
      <c r="G39" s="24"/>
      <c r="H39" s="24"/>
      <c r="I39" s="24"/>
      <c r="J39" s="24"/>
      <c r="K39" s="24"/>
      <c r="L39" s="24"/>
      <c r="M39" s="24"/>
      <c r="N39" s="24"/>
      <c r="O39" s="24"/>
      <c r="P39" s="24">
        <v>51.947199999999995</v>
      </c>
      <c r="Q39" s="24"/>
      <c r="R39" s="24">
        <v>0.3989264077573232</v>
      </c>
      <c r="S39" s="24"/>
      <c r="T39" s="24">
        <v>0.01748718499758129</v>
      </c>
      <c r="U39" s="24"/>
      <c r="V39" s="24"/>
      <c r="W39" s="24"/>
      <c r="X39" s="465">
        <v>0.4957529510889308</v>
      </c>
      <c r="Y39" s="465"/>
      <c r="Z39" s="465"/>
      <c r="AA39" s="465"/>
      <c r="AB39" s="465"/>
      <c r="AC39" s="465"/>
      <c r="AD39" s="465">
        <v>0.2974517706533585</v>
      </c>
      <c r="AE39" s="465">
        <f>Veg!$E$10/Veg!$B$10</f>
        <v>1.2607223072028357</v>
      </c>
      <c r="AF39" s="477">
        <f t="shared" si="2"/>
        <v>0.6250068042994514</v>
      </c>
      <c r="AG39" s="1134">
        <v>0.37799999999999995</v>
      </c>
      <c r="AH39" s="1134"/>
    </row>
    <row r="40" spans="1:34" ht="12.75">
      <c r="A40" s="14" t="s">
        <v>682</v>
      </c>
      <c r="B40" s="24">
        <v>51.51199750683971</v>
      </c>
      <c r="C40" s="24"/>
      <c r="D40" s="24"/>
      <c r="E40" s="24"/>
      <c r="F40" s="24"/>
      <c r="G40" s="24"/>
      <c r="H40" s="24"/>
      <c r="I40" s="24"/>
      <c r="J40" s="24"/>
      <c r="K40" s="24"/>
      <c r="L40" s="24"/>
      <c r="M40" s="24"/>
      <c r="N40" s="24"/>
      <c r="O40" s="24"/>
      <c r="P40" s="24">
        <v>60.52</v>
      </c>
      <c r="Q40" s="24"/>
      <c r="R40" s="24">
        <v>20.336936615700317</v>
      </c>
      <c r="S40" s="24"/>
      <c r="T40" s="24">
        <v>0.8914821530170002</v>
      </c>
      <c r="U40" s="24"/>
      <c r="V40" s="24"/>
      <c r="W40" s="24"/>
      <c r="X40" s="118">
        <v>25.27307329695544</v>
      </c>
      <c r="Y40" s="118"/>
      <c r="Z40" s="118"/>
      <c r="AA40" s="118"/>
      <c r="AB40" s="118"/>
      <c r="AC40" s="118"/>
      <c r="AD40" s="118">
        <v>19.71855169322897</v>
      </c>
      <c r="AE40" s="465">
        <f>Veg!$E$10/Veg!$B$10</f>
        <v>1.2607223072028357</v>
      </c>
      <c r="AF40" s="477">
        <f t="shared" si="2"/>
        <v>31.86232727704404</v>
      </c>
      <c r="AG40" s="1134">
        <v>33.7716</v>
      </c>
      <c r="AH40" s="1134"/>
    </row>
    <row r="41" spans="1:34" ht="12.75">
      <c r="A41" s="14" t="s">
        <v>683</v>
      </c>
      <c r="B41" s="24">
        <v>12.17422287886605</v>
      </c>
      <c r="C41" s="24"/>
      <c r="D41" s="24"/>
      <c r="E41" s="24"/>
      <c r="F41" s="24"/>
      <c r="G41" s="24"/>
      <c r="H41" s="24"/>
      <c r="I41" s="24"/>
      <c r="J41" s="24"/>
      <c r="K41" s="24"/>
      <c r="L41" s="24"/>
      <c r="M41" s="24"/>
      <c r="N41" s="24"/>
      <c r="O41" s="24"/>
      <c r="P41" s="24">
        <v>87.3664</v>
      </c>
      <c r="Q41" s="24"/>
      <c r="R41" s="24">
        <v>1.5380426216244218</v>
      </c>
      <c r="S41" s="24"/>
      <c r="T41" s="24">
        <v>0.06742104642737193</v>
      </c>
      <c r="U41" s="24"/>
      <c r="V41" s="24"/>
      <c r="W41" s="24"/>
      <c r="X41" s="118">
        <v>1.9113529556927797</v>
      </c>
      <c r="Y41" s="118"/>
      <c r="Z41" s="118"/>
      <c r="AA41" s="118"/>
      <c r="AB41" s="118"/>
      <c r="AC41" s="118"/>
      <c r="AD41" s="118">
        <v>6.76937505141193</v>
      </c>
      <c r="AE41" s="465">
        <f>Veg!$E$10/Veg!$B$10</f>
        <v>1.2607223072028357</v>
      </c>
      <c r="AF41" s="477">
        <f t="shared" si="2"/>
        <v>2.4096853081799607</v>
      </c>
      <c r="AG41" s="1134">
        <v>2.3377</v>
      </c>
      <c r="AH41" s="1134"/>
    </row>
    <row r="42" spans="1:34" ht="12.75">
      <c r="A42" s="14"/>
      <c r="B42" s="24"/>
      <c r="C42" s="24"/>
      <c r="D42" s="24"/>
      <c r="E42" s="24"/>
      <c r="F42" s="24"/>
      <c r="G42" s="24"/>
      <c r="H42" s="24"/>
      <c r="I42" s="24"/>
      <c r="J42" s="24"/>
      <c r="K42" s="24"/>
      <c r="L42" s="24"/>
      <c r="M42" s="24"/>
      <c r="N42" s="24"/>
      <c r="O42" s="24"/>
      <c r="P42" s="24"/>
      <c r="Q42" s="24"/>
      <c r="R42" s="24"/>
      <c r="S42" s="24"/>
      <c r="T42" s="24"/>
      <c r="U42" s="24"/>
      <c r="V42" s="24"/>
      <c r="W42" s="24"/>
      <c r="X42" s="118"/>
      <c r="Y42" s="118"/>
      <c r="Z42" s="118"/>
      <c r="AA42" s="118"/>
      <c r="AB42" s="118"/>
      <c r="AC42" s="118"/>
      <c r="AD42" s="118"/>
      <c r="AF42" s="477"/>
      <c r="AG42" s="1134"/>
      <c r="AH42" s="1134"/>
    </row>
    <row r="43" spans="1:34" ht="12.75">
      <c r="A43" s="8" t="s">
        <v>772</v>
      </c>
      <c r="B43" s="24"/>
      <c r="C43" s="24"/>
      <c r="D43" s="24"/>
      <c r="E43" s="24"/>
      <c r="F43" s="24"/>
      <c r="G43" s="24"/>
      <c r="H43" s="24"/>
      <c r="I43" s="24"/>
      <c r="J43" s="24"/>
      <c r="K43" s="24"/>
      <c r="L43" s="24"/>
      <c r="M43" s="24"/>
      <c r="N43" s="24"/>
      <c r="O43" s="24"/>
      <c r="P43" s="24"/>
      <c r="Q43" s="24"/>
      <c r="R43" s="24"/>
      <c r="S43" s="24"/>
      <c r="T43" s="24"/>
      <c r="U43" s="24"/>
      <c r="V43" s="24"/>
      <c r="W43" s="24"/>
      <c r="X43" s="468">
        <f>SUM(X44:X70)</f>
        <v>61.46523268944332</v>
      </c>
      <c r="Y43" s="118"/>
      <c r="Z43" s="118"/>
      <c r="AA43" s="118"/>
      <c r="AB43" s="118"/>
      <c r="AC43" s="118"/>
      <c r="AD43" s="468">
        <f>SUM(AD44:AD70)</f>
        <v>20.27481826448623</v>
      </c>
      <c r="AF43" s="468">
        <f>SUM(AF44:AF70)</f>
        <v>86.70863666975634</v>
      </c>
      <c r="AG43" s="487">
        <f>SUM(AG44:AG70)</f>
        <v>24.946100000000005</v>
      </c>
      <c r="AH43" s="487"/>
    </row>
    <row r="44" spans="1:35" ht="12.75">
      <c r="A44" s="14" t="s">
        <v>508</v>
      </c>
      <c r="B44" s="24">
        <v>1.2279863001411768</v>
      </c>
      <c r="C44" s="24"/>
      <c r="D44" s="24"/>
      <c r="E44" s="24"/>
      <c r="F44" s="24"/>
      <c r="G44" s="24"/>
      <c r="H44" s="24"/>
      <c r="I44" s="24"/>
      <c r="J44" s="24"/>
      <c r="K44" s="24"/>
      <c r="L44" s="24"/>
      <c r="M44" s="24"/>
      <c r="N44" s="24"/>
      <c r="O44" s="24"/>
      <c r="P44" s="24">
        <v>71.14740205763317</v>
      </c>
      <c r="Q44" s="24"/>
      <c r="R44" s="24">
        <v>0.3543059499670797</v>
      </c>
      <c r="S44" s="24"/>
      <c r="T44" s="24">
        <v>0.015531219724584317</v>
      </c>
      <c r="U44" s="24"/>
      <c r="V44" s="24"/>
      <c r="W44" s="24"/>
      <c r="X44" s="465">
        <v>0.4403023135821031</v>
      </c>
      <c r="Y44" s="465"/>
      <c r="Z44" s="465"/>
      <c r="AA44" s="465"/>
      <c r="AB44" s="465"/>
      <c r="AC44" s="465"/>
      <c r="AD44" s="465">
        <v>0.08871763034863271</v>
      </c>
      <c r="AE44" s="465">
        <f>Veg!$E$11/Veg!$B$11</f>
        <v>1.5936728502356934</v>
      </c>
      <c r="AF44" s="477">
        <f aca="true" t="shared" si="3" ref="AF44:AF68">X44*AE44</f>
        <v>0.7016978430517603</v>
      </c>
      <c r="AG44" s="1134">
        <v>0.14</v>
      </c>
      <c r="AH44" s="1134"/>
      <c r="AI44" s="465"/>
    </row>
    <row r="45" spans="1:34" ht="12.75">
      <c r="A45" s="14" t="s">
        <v>684</v>
      </c>
      <c r="B45" s="24">
        <v>0.15904785123630344</v>
      </c>
      <c r="C45" s="24"/>
      <c r="D45" s="24"/>
      <c r="E45" s="24"/>
      <c r="F45" s="24"/>
      <c r="G45" s="24"/>
      <c r="H45" s="24"/>
      <c r="I45" s="24"/>
      <c r="J45" s="24"/>
      <c r="K45" s="24"/>
      <c r="L45" s="24"/>
      <c r="M45" s="24"/>
      <c r="N45" s="24"/>
      <c r="O45" s="24"/>
      <c r="P45" s="24">
        <v>24.461599999999994</v>
      </c>
      <c r="Q45" s="24"/>
      <c r="R45" s="24">
        <v>0.12014220205828385</v>
      </c>
      <c r="S45" s="24"/>
      <c r="T45" s="24">
        <v>0.005266507487486416</v>
      </c>
      <c r="U45" s="24"/>
      <c r="V45" s="24"/>
      <c r="W45" s="24"/>
      <c r="X45" s="465">
        <v>0.14930285401649615</v>
      </c>
      <c r="Y45" s="465"/>
      <c r="Z45" s="465"/>
      <c r="AA45" s="465"/>
      <c r="AB45" s="465"/>
      <c r="AC45" s="465"/>
      <c r="AD45" s="465">
        <v>0.028379881341978608</v>
      </c>
      <c r="AE45" s="465">
        <f>Veg!$E$11/Veg!$B$11</f>
        <v>1.5936728502356934</v>
      </c>
      <c r="AF45" s="483">
        <f t="shared" si="3"/>
        <v>0.23793990490879305</v>
      </c>
      <c r="AG45" s="1134">
        <v>0.045599999999999995</v>
      </c>
      <c r="AH45" s="1134"/>
    </row>
    <row r="46" spans="1:34" ht="12.75">
      <c r="A46" s="14" t="s">
        <v>685</v>
      </c>
      <c r="B46" s="24">
        <v>0.09111647063358108</v>
      </c>
      <c r="C46" s="24"/>
      <c r="D46" s="24"/>
      <c r="E46" s="24"/>
      <c r="F46" s="24"/>
      <c r="G46" s="24"/>
      <c r="H46" s="24"/>
      <c r="I46" s="24"/>
      <c r="J46" s="24"/>
      <c r="K46" s="24"/>
      <c r="L46" s="24"/>
      <c r="M46" s="24"/>
      <c r="N46" s="24"/>
      <c r="O46" s="24"/>
      <c r="P46" s="24">
        <v>63.771065199999995</v>
      </c>
      <c r="Q46" s="24"/>
      <c r="R46" s="24">
        <v>0.03301052673790124</v>
      </c>
      <c r="S46" s="24"/>
      <c r="T46" s="24">
        <v>0.001447036788510739</v>
      </c>
      <c r="U46" s="24"/>
      <c r="V46" s="24"/>
      <c r="W46" s="24"/>
      <c r="X46" s="465">
        <v>0.04102276943588519</v>
      </c>
      <c r="Y46" s="465"/>
      <c r="Z46" s="465"/>
      <c r="AA46" s="465"/>
      <c r="AB46" s="465"/>
      <c r="AC46" s="465"/>
      <c r="AD46" s="465">
        <v>0.007292936788601811</v>
      </c>
      <c r="AE46" s="465">
        <f>Veg!$E$11/Veg!$B$11</f>
        <v>1.5936728502356934</v>
      </c>
      <c r="AF46" s="483">
        <f t="shared" si="3"/>
        <v>0.06537687389144883</v>
      </c>
      <c r="AG46" s="1134">
        <v>0.012600000000000002</v>
      </c>
      <c r="AH46" s="1134"/>
    </row>
    <row r="47" spans="1:34" ht="12.75">
      <c r="A47" t="s">
        <v>511</v>
      </c>
      <c r="B47" s="24">
        <v>0.2974123047740745</v>
      </c>
      <c r="C47" s="24"/>
      <c r="D47" s="24"/>
      <c r="E47" s="24"/>
      <c r="F47" s="24"/>
      <c r="G47" s="24"/>
      <c r="H47" s="24"/>
      <c r="I47" s="24"/>
      <c r="J47" s="24"/>
      <c r="K47" s="24"/>
      <c r="L47" s="24"/>
      <c r="M47" s="24"/>
      <c r="N47" s="24"/>
      <c r="O47" s="24"/>
      <c r="P47" s="24">
        <v>0.416996765460495</v>
      </c>
      <c r="Q47" s="24"/>
      <c r="R47" s="24">
        <v>0.17339233567513443</v>
      </c>
      <c r="S47" s="24"/>
      <c r="T47" s="24">
        <v>0.007600759920005892</v>
      </c>
      <c r="U47" s="24"/>
      <c r="V47" s="24"/>
      <c r="W47" s="24"/>
      <c r="X47" s="465">
        <v>0.21547774335220704</v>
      </c>
      <c r="Y47" s="465"/>
      <c r="Z47" s="465"/>
      <c r="AA47" s="465"/>
      <c r="AB47" s="465"/>
      <c r="AC47" s="465"/>
      <c r="AD47" s="465">
        <v>0.09304720735663485</v>
      </c>
      <c r="AE47" s="465">
        <f>Veg!$E$11/Veg!$B$11</f>
        <v>1.5936728502356934</v>
      </c>
      <c r="AF47" s="483">
        <f t="shared" si="3"/>
        <v>0.343401029410467</v>
      </c>
      <c r="AG47" s="1134">
        <v>0.1462</v>
      </c>
      <c r="AH47" s="1134"/>
    </row>
    <row r="48" spans="1:34" ht="12.75">
      <c r="A48" s="14" t="s">
        <v>512</v>
      </c>
      <c r="B48" s="24">
        <v>7.693222963423468</v>
      </c>
      <c r="C48" s="24"/>
      <c r="D48" s="24"/>
      <c r="E48" s="24"/>
      <c r="F48" s="24"/>
      <c r="G48" s="24"/>
      <c r="H48" s="24"/>
      <c r="I48" s="24"/>
      <c r="J48" s="24"/>
      <c r="K48" s="24"/>
      <c r="L48" s="24"/>
      <c r="M48" s="24"/>
      <c r="N48" s="24"/>
      <c r="O48" s="24"/>
      <c r="P48" s="24">
        <v>55.25055578797996</v>
      </c>
      <c r="Q48" s="24"/>
      <c r="R48" s="24">
        <v>3.442674518123499</v>
      </c>
      <c r="S48" s="24"/>
      <c r="T48" s="24">
        <v>0.15091175969856435</v>
      </c>
      <c r="U48" s="24"/>
      <c r="V48" s="24"/>
      <c r="W48" s="24"/>
      <c r="X48" s="118">
        <v>4.278272931574451</v>
      </c>
      <c r="Y48" s="118"/>
      <c r="Z48" s="118"/>
      <c r="AA48" s="118"/>
      <c r="AB48" s="118"/>
      <c r="AC48" s="118"/>
      <c r="AD48" s="118">
        <v>1.0094801299220613</v>
      </c>
      <c r="AE48" s="465">
        <f>Veg!$E$11/Veg!$B$11</f>
        <v>1.5936728502356934</v>
      </c>
      <c r="AF48" s="477">
        <f t="shared" si="3"/>
        <v>6.81816741694847</v>
      </c>
      <c r="AG48" s="1134">
        <v>1.9096000000000002</v>
      </c>
      <c r="AH48" s="1134"/>
    </row>
    <row r="49" spans="1:34" ht="12.75">
      <c r="A49" s="14" t="s">
        <v>686</v>
      </c>
      <c r="B49" s="24">
        <v>0.9618712608664781</v>
      </c>
      <c r="C49" s="24"/>
      <c r="D49" s="24"/>
      <c r="E49" s="24"/>
      <c r="F49" s="24"/>
      <c r="G49" s="24"/>
      <c r="H49" s="24"/>
      <c r="I49" s="24"/>
      <c r="J49" s="24"/>
      <c r="K49" s="24"/>
      <c r="L49" s="24"/>
      <c r="M49" s="24"/>
      <c r="N49" s="24"/>
      <c r="O49" s="24"/>
      <c r="P49" s="24">
        <v>65.2576</v>
      </c>
      <c r="Q49" s="24"/>
      <c r="R49" s="24">
        <v>0.3341771609352752</v>
      </c>
      <c r="S49" s="24"/>
      <c r="T49" s="24">
        <v>0.014648861849217543</v>
      </c>
      <c r="U49" s="24"/>
      <c r="V49" s="24"/>
      <c r="W49" s="24"/>
      <c r="X49" s="465">
        <v>0.41528790899439283</v>
      </c>
      <c r="Y49" s="465"/>
      <c r="Z49" s="465"/>
      <c r="AA49" s="465"/>
      <c r="AB49" s="465"/>
      <c r="AC49" s="465"/>
      <c r="AD49" s="465">
        <v>0.07896319396372256</v>
      </c>
      <c r="AE49" s="465">
        <f>Veg!$E$11/Veg!$B$11</f>
        <v>1.5936728502356934</v>
      </c>
      <c r="AF49" s="477">
        <f t="shared" si="3"/>
        <v>0.6618330655955152</v>
      </c>
      <c r="AG49" s="1134">
        <v>0.1716</v>
      </c>
      <c r="AH49" s="1134"/>
    </row>
    <row r="50" spans="1:33" ht="12.75">
      <c r="A50" s="14" t="s">
        <v>514</v>
      </c>
      <c r="B50" s="24">
        <v>1.6043588923756325</v>
      </c>
      <c r="C50" s="24"/>
      <c r="D50" s="24"/>
      <c r="E50" s="24"/>
      <c r="F50" s="24"/>
      <c r="G50" s="24"/>
      <c r="H50" s="24"/>
      <c r="I50" s="24"/>
      <c r="J50" s="24"/>
      <c r="K50" s="24"/>
      <c r="L50" s="24"/>
      <c r="M50" s="24"/>
      <c r="N50" s="24"/>
      <c r="O50" s="24"/>
      <c r="P50" s="24">
        <v>76.26609487399328</v>
      </c>
      <c r="Q50" s="24"/>
      <c r="R50" s="24">
        <v>0.3807770173970848</v>
      </c>
      <c r="S50" s="24"/>
      <c r="T50" s="24">
        <v>0.01669159528315988</v>
      </c>
      <c r="U50" s="24"/>
      <c r="V50" s="24"/>
      <c r="W50" s="24"/>
      <c r="X50" s="465">
        <v>0.473198380479941</v>
      </c>
      <c r="Y50" s="465"/>
      <c r="Z50" s="465"/>
      <c r="AA50" s="465"/>
      <c r="AB50" s="465"/>
      <c r="AC50" s="465"/>
      <c r="AD50" s="465">
        <v>0.11829959511998525</v>
      </c>
      <c r="AE50" s="465">
        <f>Veg!$E$11/Veg!$B$11</f>
        <v>1.5936728502356934</v>
      </c>
      <c r="AF50" s="477">
        <f t="shared" si="3"/>
        <v>0.7541234117463816</v>
      </c>
      <c r="AG50" s="208">
        <v>0.1875</v>
      </c>
    </row>
    <row r="51" spans="1:33" ht="12.75">
      <c r="A51" s="14" t="s">
        <v>687</v>
      </c>
      <c r="B51" s="24">
        <v>0.3782968867511685</v>
      </c>
      <c r="C51" s="24"/>
      <c r="D51" s="24"/>
      <c r="E51" s="24"/>
      <c r="F51" s="24"/>
      <c r="G51" s="24"/>
      <c r="H51" s="24"/>
      <c r="I51" s="24"/>
      <c r="J51" s="24"/>
      <c r="K51" s="24"/>
      <c r="L51" s="24"/>
      <c r="M51" s="24"/>
      <c r="N51" s="24"/>
      <c r="O51" s="24"/>
      <c r="P51" s="24">
        <v>52.0119754</v>
      </c>
      <c r="Q51" s="24"/>
      <c r="R51" s="24">
        <v>0.1815372030751849</v>
      </c>
      <c r="S51" s="24"/>
      <c r="T51" s="24">
        <v>0.007957795203295776</v>
      </c>
      <c r="U51" s="24"/>
      <c r="V51" s="24"/>
      <c r="W51" s="24"/>
      <c r="X51" s="465">
        <v>0.2255995151158336</v>
      </c>
      <c r="Y51" s="465"/>
      <c r="Z51" s="465"/>
      <c r="AA51" s="465"/>
      <c r="AB51" s="465"/>
      <c r="AC51" s="465"/>
      <c r="AD51" s="465">
        <v>0.0426132417441019</v>
      </c>
      <c r="AE51" s="465">
        <f>Veg!$E$11/Veg!$B$11</f>
        <v>1.5936728502356934</v>
      </c>
      <c r="AF51" s="483">
        <f t="shared" si="3"/>
        <v>0.3595318222664409</v>
      </c>
      <c r="AG51" s="208">
        <v>0.0684</v>
      </c>
    </row>
    <row r="52" spans="1:33" ht="12.75">
      <c r="A52" s="14" t="s">
        <v>516</v>
      </c>
      <c r="B52" s="24">
        <v>6.203137260297697</v>
      </c>
      <c r="C52" s="24"/>
      <c r="D52" s="24"/>
      <c r="E52" s="24"/>
      <c r="F52" s="24"/>
      <c r="G52" s="24"/>
      <c r="H52" s="24"/>
      <c r="I52" s="24"/>
      <c r="J52" s="24"/>
      <c r="K52" s="24"/>
      <c r="L52" s="24"/>
      <c r="M52" s="24"/>
      <c r="N52" s="24"/>
      <c r="O52" s="24"/>
      <c r="P52" s="24">
        <v>0.558729060552634</v>
      </c>
      <c r="Q52" s="24"/>
      <c r="R52" s="24">
        <v>2.737264206372527</v>
      </c>
      <c r="S52" s="24"/>
      <c r="T52" s="24">
        <v>0.1199896638409875</v>
      </c>
      <c r="U52" s="24"/>
      <c r="V52" s="24"/>
      <c r="W52" s="24"/>
      <c r="X52" s="118">
        <v>3.401646975060075</v>
      </c>
      <c r="Y52" s="118"/>
      <c r="Z52" s="118"/>
      <c r="AA52" s="118"/>
      <c r="AB52" s="118"/>
      <c r="AC52" s="118"/>
      <c r="AD52" s="465">
        <v>0.471515422285555</v>
      </c>
      <c r="AE52" s="465">
        <f>Veg!$E$11/Veg!$B$11</f>
        <v>1.5936728502356934</v>
      </c>
      <c r="AF52" s="477">
        <f t="shared" si="3"/>
        <v>5.4211124302396145</v>
      </c>
      <c r="AG52" s="208">
        <v>0.8672</v>
      </c>
    </row>
    <row r="53" spans="1:33" ht="12.75">
      <c r="A53" t="s">
        <v>1225</v>
      </c>
      <c r="B53" s="24">
        <v>6.30675018191257</v>
      </c>
      <c r="C53" s="24"/>
      <c r="D53" s="24"/>
      <c r="E53" s="24"/>
      <c r="F53" s="24"/>
      <c r="G53" s="24"/>
      <c r="H53" s="24"/>
      <c r="I53" s="24"/>
      <c r="J53" s="24"/>
      <c r="K53" s="24"/>
      <c r="L53" s="24"/>
      <c r="M53" s="24"/>
      <c r="N53" s="24"/>
      <c r="O53" s="24"/>
      <c r="P53" s="24">
        <v>0.341248</v>
      </c>
      <c r="Q53" s="24"/>
      <c r="R53" s="24">
        <v>4.154584295835269</v>
      </c>
      <c r="S53" s="24"/>
      <c r="T53" s="24">
        <v>0.1821187636530529</v>
      </c>
      <c r="U53" s="24"/>
      <c r="V53" s="24"/>
      <c r="W53" s="24"/>
      <c r="X53" s="118">
        <v>5.162975890182223</v>
      </c>
      <c r="Y53" s="118"/>
      <c r="Z53" s="118"/>
      <c r="AA53" s="118"/>
      <c r="AB53" s="118"/>
      <c r="AC53" s="118"/>
      <c r="AD53" s="118">
        <v>1.100928682465327</v>
      </c>
      <c r="AE53" s="465">
        <f>Veg!$E$11/Veg!$B$11</f>
        <v>1.5936728502356934</v>
      </c>
      <c r="AF53" s="477">
        <f t="shared" si="3"/>
        <v>8.22809450260487</v>
      </c>
      <c r="AG53" s="208">
        <v>1.7283000000000002</v>
      </c>
    </row>
    <row r="54" spans="1:33" ht="12.75">
      <c r="A54" s="14" t="s">
        <v>517</v>
      </c>
      <c r="B54" s="24">
        <v>6.505660734902352</v>
      </c>
      <c r="C54" s="24"/>
      <c r="D54" s="24"/>
      <c r="E54" s="24"/>
      <c r="F54" s="24"/>
      <c r="G54" s="24"/>
      <c r="H54" s="24"/>
      <c r="I54" s="24"/>
      <c r="J54" s="24"/>
      <c r="K54" s="24"/>
      <c r="L54" s="24"/>
      <c r="M54" s="24"/>
      <c r="N54" s="24"/>
      <c r="O54" s="24"/>
      <c r="P54" s="24">
        <v>64.59228118023466</v>
      </c>
      <c r="Q54" s="24"/>
      <c r="R54" s="24">
        <v>2.303506060382103</v>
      </c>
      <c r="S54" s="24"/>
      <c r="T54" s="24">
        <v>0.10097560812633877</v>
      </c>
      <c r="U54" s="24"/>
      <c r="V54" s="24"/>
      <c r="W54" s="24"/>
      <c r="X54" s="118">
        <v>2.8626080025776406</v>
      </c>
      <c r="Y54" s="118"/>
      <c r="Z54" s="118"/>
      <c r="AA54" s="118"/>
      <c r="AB54" s="118"/>
      <c r="AC54" s="118"/>
      <c r="AD54" s="118">
        <v>0.33677741206795775</v>
      </c>
      <c r="AE54" s="465">
        <f>Veg!$E$11/Veg!$B$11</f>
        <v>1.5936728502356934</v>
      </c>
      <c r="AF54" s="477">
        <f t="shared" si="3"/>
        <v>4.562060654575413</v>
      </c>
      <c r="AG54" s="208">
        <v>0.6839999999999999</v>
      </c>
    </row>
    <row r="55" spans="1:33" ht="12.75">
      <c r="A55" s="14" t="s">
        <v>688</v>
      </c>
      <c r="B55" s="24">
        <v>3.809112888948147</v>
      </c>
      <c r="C55" s="24"/>
      <c r="D55" s="24"/>
      <c r="E55" s="24"/>
      <c r="F55" s="24"/>
      <c r="G55" s="24"/>
      <c r="H55" s="24"/>
      <c r="I55" s="24"/>
      <c r="J55" s="24"/>
      <c r="K55" s="24"/>
      <c r="L55" s="24"/>
      <c r="M55" s="24"/>
      <c r="N55" s="24"/>
      <c r="O55" s="24"/>
      <c r="P55" s="24">
        <v>63.528</v>
      </c>
      <c r="Q55" s="24"/>
      <c r="R55" s="24">
        <v>1.3892596528571681</v>
      </c>
      <c r="S55" s="24"/>
      <c r="T55" s="24">
        <v>0.06089905327593066</v>
      </c>
      <c r="U55" s="24"/>
      <c r="V55" s="24"/>
      <c r="W55" s="24"/>
      <c r="X55" s="118">
        <v>1.7264577108459964</v>
      </c>
      <c r="Y55" s="118"/>
      <c r="Z55" s="118"/>
      <c r="AA55" s="118"/>
      <c r="AB55" s="118"/>
      <c r="AC55" s="118"/>
      <c r="AD55" s="118">
        <v>2.019432352686529</v>
      </c>
      <c r="AE55" s="465">
        <f>Veg!$E$11/Veg!$B$11</f>
        <v>1.5936728502356934</v>
      </c>
      <c r="AF55" s="477">
        <f t="shared" si="3"/>
        <v>2.75140878085533</v>
      </c>
      <c r="AG55" s="208">
        <v>2.5025</v>
      </c>
    </row>
    <row r="56" spans="1:33" ht="12.75">
      <c r="A56" t="s">
        <v>519</v>
      </c>
      <c r="B56" s="24">
        <v>0.8468956854203021</v>
      </c>
      <c r="C56" s="24"/>
      <c r="D56" s="24"/>
      <c r="E56" s="24"/>
      <c r="F56" s="24"/>
      <c r="G56" s="24"/>
      <c r="H56" s="24"/>
      <c r="I56" s="24"/>
      <c r="J56" s="24"/>
      <c r="K56" s="24"/>
      <c r="L56" s="24"/>
      <c r="M56" s="24"/>
      <c r="N56" s="24"/>
      <c r="O56" s="24"/>
      <c r="P56" s="24">
        <v>0.610571720481396</v>
      </c>
      <c r="Q56" s="24"/>
      <c r="R56" s="24">
        <v>0.32980512970495696</v>
      </c>
      <c r="S56" s="24"/>
      <c r="T56" s="24">
        <v>0.014457211165148798</v>
      </c>
      <c r="U56" s="24"/>
      <c r="V56" s="24"/>
      <c r="W56" s="24"/>
      <c r="X56" s="465">
        <v>0.40985470792638584</v>
      </c>
      <c r="Y56" s="118"/>
      <c r="Z56" s="118"/>
      <c r="AA56" s="118"/>
      <c r="AB56" s="118"/>
      <c r="AC56" s="118"/>
      <c r="AD56" s="465">
        <v>0.0999645629088746</v>
      </c>
      <c r="AE56" s="465">
        <f>Veg!$E$11/Veg!$B$11</f>
        <v>1.5936728502356934</v>
      </c>
      <c r="AF56" s="477">
        <f t="shared" si="3"/>
        <v>0.653174320563561</v>
      </c>
      <c r="AG56" s="208">
        <v>0.1625</v>
      </c>
    </row>
    <row r="57" spans="1:33" ht="12.75">
      <c r="A57" s="14" t="s">
        <v>520</v>
      </c>
      <c r="B57" s="24">
        <v>1.9766520625907127</v>
      </c>
      <c r="C57" s="24"/>
      <c r="D57" s="24"/>
      <c r="E57" s="24"/>
      <c r="F57" s="24"/>
      <c r="G57" s="24"/>
      <c r="H57" s="24"/>
      <c r="I57" s="24"/>
      <c r="J57" s="24"/>
      <c r="K57" s="24"/>
      <c r="L57" s="24"/>
      <c r="M57" s="24"/>
      <c r="N57" s="24"/>
      <c r="O57" s="24"/>
      <c r="P57" s="24">
        <v>51.00709476676812</v>
      </c>
      <c r="Q57" s="24"/>
      <c r="R57" s="24">
        <v>0.9684192718157911</v>
      </c>
      <c r="S57" s="24"/>
      <c r="T57" s="24">
        <v>0.042451255750829205</v>
      </c>
      <c r="U57" s="24"/>
      <c r="V57" s="24"/>
      <c r="W57" s="24"/>
      <c r="X57" s="118">
        <v>1.2034718749081326</v>
      </c>
      <c r="Y57" s="118"/>
      <c r="Z57" s="118"/>
      <c r="AA57" s="118"/>
      <c r="AB57" s="118"/>
      <c r="AC57" s="118"/>
      <c r="AD57" s="465">
        <v>0.37198221588069547</v>
      </c>
      <c r="AE57" s="465">
        <f>Veg!$E$11/Veg!$B$11</f>
        <v>1.5936728502356934</v>
      </c>
      <c r="AF57" s="477">
        <f t="shared" si="3"/>
        <v>1.9179404530633375</v>
      </c>
      <c r="AG57" s="208">
        <v>0.5952</v>
      </c>
    </row>
    <row r="58" spans="1:33" ht="12.75">
      <c r="A58" s="14" t="s">
        <v>689</v>
      </c>
      <c r="B58" s="24">
        <v>3.614316320759049</v>
      </c>
      <c r="C58" s="24"/>
      <c r="D58" s="24"/>
      <c r="E58" s="24"/>
      <c r="F58" s="24"/>
      <c r="G58" s="24"/>
      <c r="H58" s="24"/>
      <c r="I58" s="24"/>
      <c r="J58" s="24"/>
      <c r="K58" s="24"/>
      <c r="L58" s="24"/>
      <c r="M58" s="24"/>
      <c r="N58" s="24"/>
      <c r="O58" s="24"/>
      <c r="P58" s="24">
        <v>57.13599999999999</v>
      </c>
      <c r="Q58" s="24"/>
      <c r="R58" s="24">
        <v>1.549240547730159</v>
      </c>
      <c r="S58" s="24"/>
      <c r="T58" s="24">
        <v>0.06791191442104806</v>
      </c>
      <c r="U58" s="24"/>
      <c r="V58" s="24"/>
      <c r="W58" s="24"/>
      <c r="X58" s="118">
        <v>1.9252688178795019</v>
      </c>
      <c r="Y58" s="118"/>
      <c r="Z58" s="118"/>
      <c r="AA58" s="118"/>
      <c r="AB58" s="118"/>
      <c r="AC58" s="118"/>
      <c r="AD58" s="465">
        <v>0.38505376357590043</v>
      </c>
      <c r="AE58" s="465">
        <f>Veg!$E$11/Veg!$B$11</f>
        <v>1.5936728502356934</v>
      </c>
      <c r="AF58" s="477">
        <f t="shared" si="3"/>
        <v>3.06824864445993</v>
      </c>
      <c r="AG58" s="208">
        <v>0.7675</v>
      </c>
    </row>
    <row r="59" spans="1:33" ht="12.75">
      <c r="A59" s="14" t="s">
        <v>690</v>
      </c>
      <c r="B59" s="24">
        <v>1.9954674794784129</v>
      </c>
      <c r="C59" s="24"/>
      <c r="D59" s="24"/>
      <c r="E59" s="24"/>
      <c r="F59" s="24"/>
      <c r="G59" s="24"/>
      <c r="H59" s="24"/>
      <c r="I59" s="24"/>
      <c r="J59" s="24"/>
      <c r="K59" s="24"/>
      <c r="L59" s="24"/>
      <c r="M59" s="24"/>
      <c r="N59" s="24"/>
      <c r="O59" s="24"/>
      <c r="P59" s="24">
        <v>39.4574576</v>
      </c>
      <c r="Q59" s="24"/>
      <c r="R59" s="24">
        <v>1.2081067448414293</v>
      </c>
      <c r="S59" s="24"/>
      <c r="T59" s="24">
        <v>0.052958103883459916</v>
      </c>
      <c r="U59" s="24"/>
      <c r="V59" s="24"/>
      <c r="W59" s="24"/>
      <c r="X59" s="118">
        <v>1.5013357660441469</v>
      </c>
      <c r="Y59" s="118"/>
      <c r="Z59" s="118"/>
      <c r="AA59" s="118"/>
      <c r="AB59" s="118"/>
      <c r="AC59" s="118"/>
      <c r="AD59" s="465">
        <v>0.42259821562724137</v>
      </c>
      <c r="AE59" s="465">
        <f>Veg!$E$11/Veg!$B$11</f>
        <v>1.5936728502356934</v>
      </c>
      <c r="AF59" s="477">
        <f t="shared" si="3"/>
        <v>2.392638049432364</v>
      </c>
      <c r="AG59" s="208">
        <v>0.8126000000000001</v>
      </c>
    </row>
    <row r="60" spans="1:33" ht="12.75">
      <c r="A60" t="s">
        <v>522</v>
      </c>
      <c r="B60" s="24">
        <v>17.50344752819374</v>
      </c>
      <c r="C60" s="24"/>
      <c r="D60" s="24"/>
      <c r="E60" s="24"/>
      <c r="F60" s="24"/>
      <c r="G60" s="24"/>
      <c r="H60" s="24"/>
      <c r="I60" s="24"/>
      <c r="J60" s="24"/>
      <c r="K60" s="24"/>
      <c r="L60" s="24"/>
      <c r="M60" s="24"/>
      <c r="N60" s="24"/>
      <c r="O60" s="24"/>
      <c r="P60" s="24">
        <v>0.49069221913004496</v>
      </c>
      <c r="Q60" s="24"/>
      <c r="R60" s="24">
        <v>8.914642018158048</v>
      </c>
      <c r="S60" s="24"/>
      <c r="T60" s="24">
        <v>0.3907788281932295</v>
      </c>
      <c r="U60" s="24"/>
      <c r="V60" s="24"/>
      <c r="W60" s="24"/>
      <c r="X60" s="118">
        <v>11.07838438986396</v>
      </c>
      <c r="Y60" s="118"/>
      <c r="Z60" s="118"/>
      <c r="AA60" s="118"/>
      <c r="AB60" s="118"/>
      <c r="AC60" s="118"/>
      <c r="AD60" s="118">
        <v>1.4099761950735947</v>
      </c>
      <c r="AE60" s="465">
        <f>Veg!$E$11/Veg!$B$11</f>
        <v>1.5936728502356934</v>
      </c>
      <c r="AF60" s="477">
        <f t="shared" si="3"/>
        <v>17.655320426601108</v>
      </c>
      <c r="AG60" s="208">
        <v>2.4724</v>
      </c>
    </row>
    <row r="61" spans="1:33" ht="12.75">
      <c r="A61" t="s">
        <v>166</v>
      </c>
      <c r="B61" s="24">
        <v>2.592862188559457</v>
      </c>
      <c r="C61" s="24"/>
      <c r="D61" s="24"/>
      <c r="E61" s="24"/>
      <c r="F61" s="24"/>
      <c r="G61" s="24"/>
      <c r="H61" s="24"/>
      <c r="I61" s="24"/>
      <c r="J61" s="24"/>
      <c r="K61" s="24"/>
      <c r="L61" s="24"/>
      <c r="M61" s="24"/>
      <c r="N61" s="24"/>
      <c r="O61" s="24"/>
      <c r="P61" s="24">
        <v>0.670054090855928</v>
      </c>
      <c r="Q61" s="24"/>
      <c r="R61" s="24">
        <v>0.8555042720895372</v>
      </c>
      <c r="S61" s="24"/>
      <c r="T61" s="24">
        <v>0.03750155713269204</v>
      </c>
      <c r="U61" s="24"/>
      <c r="V61" s="24"/>
      <c r="W61" s="24"/>
      <c r="X61" s="118">
        <v>1.063150393933253</v>
      </c>
      <c r="Y61" s="118"/>
      <c r="Z61" s="118"/>
      <c r="AA61" s="118"/>
      <c r="AB61" s="118"/>
      <c r="AC61" s="118"/>
      <c r="AD61" s="118">
        <v>1.5869083085915467</v>
      </c>
      <c r="AE61" s="465">
        <f>Veg!$E$11/Veg!$B$11</f>
        <v>1.5936728502356934</v>
      </c>
      <c r="AF61" s="477">
        <f t="shared" si="3"/>
        <v>1.6943139185288074</v>
      </c>
      <c r="AG61" s="208">
        <v>2.5181</v>
      </c>
    </row>
    <row r="62" spans="1:33" ht="12.75">
      <c r="A62" t="s">
        <v>523</v>
      </c>
      <c r="B62" s="24">
        <v>9.628952210545183</v>
      </c>
      <c r="C62" s="24"/>
      <c r="D62" s="24"/>
      <c r="E62" s="24"/>
      <c r="F62" s="24"/>
      <c r="G62" s="24"/>
      <c r="H62" s="24"/>
      <c r="I62" s="24"/>
      <c r="J62" s="24"/>
      <c r="K62" s="24"/>
      <c r="L62" s="24"/>
      <c r="M62" s="24"/>
      <c r="N62" s="24"/>
      <c r="O62" s="24"/>
      <c r="P62" s="24">
        <v>0.635136304916181</v>
      </c>
      <c r="Q62" s="24"/>
      <c r="R62" s="24">
        <v>3.5132550833250256</v>
      </c>
      <c r="S62" s="24"/>
      <c r="T62" s="24">
        <v>0.15400570228274085</v>
      </c>
      <c r="U62" s="24"/>
      <c r="V62" s="24"/>
      <c r="W62" s="24"/>
      <c r="X62" s="118">
        <v>4.365984656864562</v>
      </c>
      <c r="Y62" s="118"/>
      <c r="Z62" s="118"/>
      <c r="AA62" s="118"/>
      <c r="AB62" s="118"/>
      <c r="AC62" s="118"/>
      <c r="AD62" s="118">
        <v>0.8790573134626636</v>
      </c>
      <c r="AE62" s="465">
        <f>Veg!$E$11/Veg!$B$11</f>
        <v>1.5936728502356934</v>
      </c>
      <c r="AF62" s="477">
        <f t="shared" si="3"/>
        <v>6.957951212190652</v>
      </c>
      <c r="AG62" s="208">
        <v>1.392</v>
      </c>
    </row>
    <row r="63" spans="1:33" ht="12.75">
      <c r="A63" s="14" t="s">
        <v>524</v>
      </c>
      <c r="B63" s="24">
        <v>2.475121813485063</v>
      </c>
      <c r="C63" s="24"/>
      <c r="D63" s="24"/>
      <c r="E63" s="24"/>
      <c r="F63" s="24"/>
      <c r="G63" s="24"/>
      <c r="H63" s="24"/>
      <c r="I63" s="24"/>
      <c r="J63" s="24"/>
      <c r="K63" s="24"/>
      <c r="L63" s="24"/>
      <c r="M63" s="24"/>
      <c r="N63" s="24"/>
      <c r="O63" s="24"/>
      <c r="P63" s="24">
        <v>37.63257943727293</v>
      </c>
      <c r="Q63" s="24"/>
      <c r="R63" s="24">
        <v>1.543669630856026</v>
      </c>
      <c r="S63" s="24"/>
      <c r="T63" s="24">
        <v>0.06766770984574362</v>
      </c>
      <c r="U63" s="24"/>
      <c r="V63" s="24"/>
      <c r="W63" s="24"/>
      <c r="X63" s="118">
        <v>1.9183457402719086</v>
      </c>
      <c r="Y63" s="118"/>
      <c r="Z63" s="118"/>
      <c r="AA63" s="118"/>
      <c r="AB63" s="118"/>
      <c r="AC63" s="118"/>
      <c r="AD63" s="465">
        <v>0.41963813068447997</v>
      </c>
      <c r="AE63" s="465">
        <f>Veg!$E$11/Veg!$B$11</f>
        <v>1.5936728502356934</v>
      </c>
      <c r="AF63" s="477">
        <f t="shared" si="3"/>
        <v>3.057215523636634</v>
      </c>
      <c r="AG63" s="208">
        <v>0.6732</v>
      </c>
    </row>
    <row r="64" spans="1:33" ht="12.75">
      <c r="A64" s="14" t="s">
        <v>691</v>
      </c>
      <c r="B64" s="24">
        <v>1.2769374507040046</v>
      </c>
      <c r="C64" s="24"/>
      <c r="D64" s="24"/>
      <c r="E64" s="24"/>
      <c r="F64" s="24"/>
      <c r="G64" s="24"/>
      <c r="H64" s="24"/>
      <c r="I64" s="24"/>
      <c r="J64" s="24"/>
      <c r="K64" s="24"/>
      <c r="L64" s="24"/>
      <c r="M64" s="24"/>
      <c r="N64" s="24"/>
      <c r="O64" s="24"/>
      <c r="P64" s="24">
        <v>44.399</v>
      </c>
      <c r="Q64" s="24"/>
      <c r="R64" s="24">
        <v>0.7099899919659336</v>
      </c>
      <c r="S64" s="24"/>
      <c r="T64" s="24">
        <v>0.031122848962890238</v>
      </c>
      <c r="U64" s="24"/>
      <c r="V64" s="24"/>
      <c r="W64" s="24"/>
      <c r="X64" s="118">
        <v>0.8823172066734568</v>
      </c>
      <c r="Y64" s="118"/>
      <c r="Z64" s="118"/>
      <c r="AA64" s="118"/>
      <c r="AB64" s="118"/>
      <c r="AC64" s="118"/>
      <c r="AD64" s="465">
        <v>0.2205793016683642</v>
      </c>
      <c r="AE64" s="465">
        <f>Veg!$E$11/Veg!$B$11</f>
        <v>1.5936728502356934</v>
      </c>
      <c r="AF64" s="477">
        <f t="shared" si="3"/>
        <v>1.4061249775712832</v>
      </c>
      <c r="AG64" s="208">
        <v>0.3525</v>
      </c>
    </row>
    <row r="65" spans="1:33" ht="12.75">
      <c r="A65" t="s">
        <v>526</v>
      </c>
      <c r="B65" s="24">
        <v>0.4292008761160176</v>
      </c>
      <c r="C65" s="24"/>
      <c r="D65" s="24"/>
      <c r="E65" s="24"/>
      <c r="F65" s="24"/>
      <c r="G65" s="24"/>
      <c r="H65" s="24"/>
      <c r="I65" s="24"/>
      <c r="J65" s="24"/>
      <c r="K65" s="24"/>
      <c r="L65" s="24"/>
      <c r="M65" s="24"/>
      <c r="N65" s="24"/>
      <c r="O65" s="24"/>
      <c r="P65" s="24">
        <v>0.561020000081776</v>
      </c>
      <c r="Q65" s="24"/>
      <c r="R65" s="24">
        <v>0.18841060056231101</v>
      </c>
      <c r="S65" s="24"/>
      <c r="T65" s="24">
        <v>0.0082590948191698</v>
      </c>
      <c r="U65" s="24"/>
      <c r="V65" s="24"/>
      <c r="W65" s="24"/>
      <c r="X65" s="465">
        <v>0.2341412085760542</v>
      </c>
      <c r="Y65" s="465"/>
      <c r="Z65" s="465"/>
      <c r="AA65" s="465"/>
      <c r="AB65" s="465"/>
      <c r="AC65" s="465"/>
      <c r="AD65" s="465">
        <v>0.0725837746585768</v>
      </c>
      <c r="AE65" s="465">
        <f>Veg!$E$11/Veg!$B$11</f>
        <v>1.5936728502356934</v>
      </c>
      <c r="AF65" s="483">
        <f t="shared" si="3"/>
        <v>0.37314448722903026</v>
      </c>
      <c r="AG65" s="208">
        <v>0.12209999999999999</v>
      </c>
    </row>
    <row r="66" spans="1:33" ht="12.75">
      <c r="A66" s="14" t="s">
        <v>527</v>
      </c>
      <c r="B66" s="24">
        <v>20.239345443785442</v>
      </c>
      <c r="C66" s="24"/>
      <c r="D66" s="24"/>
      <c r="E66" s="24"/>
      <c r="F66" s="24"/>
      <c r="G66" s="24"/>
      <c r="H66" s="24"/>
      <c r="I66" s="24"/>
      <c r="J66" s="24"/>
      <c r="K66" s="24"/>
      <c r="L66" s="24"/>
      <c r="M66" s="24"/>
      <c r="N66" s="24"/>
      <c r="O66" s="24"/>
      <c r="P66" s="24">
        <v>60.13054583105986</v>
      </c>
      <c r="Q66" s="24"/>
      <c r="R66" s="24">
        <v>8.06931655580351</v>
      </c>
      <c r="S66" s="24"/>
      <c r="T66" s="24">
        <v>0.3537234654598799</v>
      </c>
      <c r="U66" s="24"/>
      <c r="V66" s="24"/>
      <c r="W66" s="24"/>
      <c r="X66" s="118">
        <v>10.027883384054865</v>
      </c>
      <c r="Y66" s="118"/>
      <c r="Z66" s="118"/>
      <c r="AA66" s="118"/>
      <c r="AB66" s="118"/>
      <c r="AC66" s="118"/>
      <c r="AD66" s="118">
        <v>4.1991761670729755</v>
      </c>
      <c r="AE66" s="465">
        <f>Veg!$E$11/Veg!$B$11</f>
        <v>1.5936728502356934</v>
      </c>
      <c r="AF66" s="477">
        <f t="shared" si="3"/>
        <v>15.981165494497867</v>
      </c>
      <c r="AG66" s="208">
        <v>5.5131000000000006</v>
      </c>
    </row>
    <row r="67" spans="1:33" ht="12.75">
      <c r="A67" s="14" t="s">
        <v>692</v>
      </c>
      <c r="B67" s="24">
        <v>1.5482275422383949</v>
      </c>
      <c r="C67" s="24"/>
      <c r="D67" s="24"/>
      <c r="E67" s="24"/>
      <c r="F67" s="24"/>
      <c r="G67" s="24"/>
      <c r="H67" s="24"/>
      <c r="I67" s="24"/>
      <c r="J67" s="24"/>
      <c r="K67" s="24"/>
      <c r="L67" s="24"/>
      <c r="M67" s="24"/>
      <c r="N67" s="24"/>
      <c r="O67" s="24"/>
      <c r="P67" s="24">
        <v>90.0736</v>
      </c>
      <c r="Q67" s="24"/>
      <c r="R67" s="24">
        <v>0.153683258752752</v>
      </c>
      <c r="S67" s="24"/>
      <c r="T67" s="24">
        <v>0.00673680038368228</v>
      </c>
      <c r="U67" s="24"/>
      <c r="V67" s="24"/>
      <c r="W67" s="24"/>
      <c r="X67" s="118">
        <v>0.1909849224772008</v>
      </c>
      <c r="Y67" s="118"/>
      <c r="Z67" s="118"/>
      <c r="AA67" s="118"/>
      <c r="AB67" s="118"/>
      <c r="AC67" s="118"/>
      <c r="AD67" s="118">
        <v>0.6684472286702029</v>
      </c>
      <c r="AE67" s="465">
        <f>Veg!$E$11/Veg!$B$11</f>
        <v>1.5936728502356934</v>
      </c>
      <c r="AF67" s="483">
        <f t="shared" si="3"/>
        <v>0.30436748575628353</v>
      </c>
      <c r="AG67" s="208">
        <v>1.047</v>
      </c>
    </row>
    <row r="68" spans="1:33" ht="12.75">
      <c r="A68" t="s">
        <v>529</v>
      </c>
      <c r="B68" s="24">
        <v>0.5246440555339997</v>
      </c>
      <c r="C68" s="24"/>
      <c r="D68" s="24"/>
      <c r="E68" s="24"/>
      <c r="F68" s="24"/>
      <c r="G68" s="24"/>
      <c r="H68" s="24"/>
      <c r="I68" s="24"/>
      <c r="J68" s="24"/>
      <c r="K68" s="24"/>
      <c r="L68" s="24"/>
      <c r="M68" s="24"/>
      <c r="N68" s="24"/>
      <c r="O68" s="24"/>
      <c r="P68" s="24">
        <v>0.670579918536115</v>
      </c>
      <c r="Q68" s="24"/>
      <c r="R68" s="24">
        <v>0.17282828751355306</v>
      </c>
      <c r="S68" s="24"/>
      <c r="T68" s="24">
        <v>0.007576034521142051</v>
      </c>
      <c r="U68" s="24"/>
      <c r="V68" s="24"/>
      <c r="W68" s="24"/>
      <c r="X68" s="465">
        <v>0.2147767906571166</v>
      </c>
      <c r="Y68" s="465"/>
      <c r="Z68" s="465"/>
      <c r="AA68" s="465"/>
      <c r="AB68" s="465"/>
      <c r="AC68" s="465"/>
      <c r="AD68" s="465">
        <v>0.03517895709038978</v>
      </c>
      <c r="AE68" s="465">
        <f>Veg!$E$11/Veg!$B$11</f>
        <v>1.5936728502356934</v>
      </c>
      <c r="AF68" s="483">
        <f t="shared" si="3"/>
        <v>0.3422839401310019</v>
      </c>
      <c r="AG68" s="208">
        <v>0.054400000000000004</v>
      </c>
    </row>
    <row r="69" spans="1:34" s="208" customFormat="1" ht="12.75">
      <c r="A69" s="466" t="s">
        <v>507</v>
      </c>
      <c r="B69" s="208">
        <v>0.6855224074792378</v>
      </c>
      <c r="P69" s="208">
        <v>0.8348992819095681</v>
      </c>
      <c r="R69" s="208">
        <v>0.1131802417419037</v>
      </c>
      <c r="T69" s="208">
        <v>0.004961325665398519</v>
      </c>
      <c r="X69" s="42">
        <v>0.14065110195121533</v>
      </c>
      <c r="Y69" s="42"/>
      <c r="Z69" s="42"/>
      <c r="AA69" s="42"/>
      <c r="AB69" s="42"/>
      <c r="AC69" s="42"/>
      <c r="AD69" s="42">
        <v>0.06598446758205165</v>
      </c>
      <c r="AE69" s="472" t="s">
        <v>88</v>
      </c>
      <c r="AF69" s="478" t="s">
        <v>88</v>
      </c>
      <c r="AG69" s="498" t="s">
        <v>88</v>
      </c>
      <c r="AH69" s="498"/>
    </row>
    <row r="70" spans="1:34" s="208" customFormat="1" ht="12.75">
      <c r="A70" s="466" t="s">
        <v>510</v>
      </c>
      <c r="B70" s="208">
        <v>12.963479373475696</v>
      </c>
      <c r="P70" s="208">
        <v>24.417721359568308</v>
      </c>
      <c r="R70" s="208">
        <v>5.565647073212658</v>
      </c>
      <c r="T70" s="208">
        <v>0.24397357033260966</v>
      </c>
      <c r="X70" s="15">
        <v>6.916528732144316</v>
      </c>
      <c r="Y70" s="15"/>
      <c r="Z70" s="15"/>
      <c r="AA70" s="15"/>
      <c r="AB70" s="15"/>
      <c r="AC70" s="15"/>
      <c r="AD70" s="15">
        <v>4.042241975847585</v>
      </c>
      <c r="AE70" s="472" t="s">
        <v>88</v>
      </c>
      <c r="AF70" s="478" t="s">
        <v>88</v>
      </c>
      <c r="AG70" s="498" t="s">
        <v>88</v>
      </c>
      <c r="AH70" s="498"/>
    </row>
    <row r="71" spans="1:34" s="208" customFormat="1" ht="12.75">
      <c r="A71" s="466"/>
      <c r="X71" s="15"/>
      <c r="Y71" s="15"/>
      <c r="Z71" s="15"/>
      <c r="AA71" s="15"/>
      <c r="AB71" s="15"/>
      <c r="AC71" s="15"/>
      <c r="AD71" s="15"/>
      <c r="AE71" s="472"/>
      <c r="AF71" s="478"/>
      <c r="AG71" s="498"/>
      <c r="AH71" s="498"/>
    </row>
    <row r="72" spans="1:34" s="208" customFormat="1" ht="12.75">
      <c r="A72" s="486" t="s">
        <v>773</v>
      </c>
      <c r="B72" s="487"/>
      <c r="C72" s="487"/>
      <c r="D72" s="487"/>
      <c r="E72" s="487"/>
      <c r="F72" s="487"/>
      <c r="G72" s="487"/>
      <c r="H72" s="487"/>
      <c r="I72" s="487"/>
      <c r="J72" s="487"/>
      <c r="K72" s="487"/>
      <c r="L72" s="487"/>
      <c r="M72" s="487"/>
      <c r="N72" s="487"/>
      <c r="O72" s="487"/>
      <c r="P72" s="487"/>
      <c r="Q72" s="487"/>
      <c r="R72" s="487"/>
      <c r="S72" s="487"/>
      <c r="T72" s="487"/>
      <c r="U72" s="487"/>
      <c r="V72" s="487"/>
      <c r="W72" s="487"/>
      <c r="X72" s="481">
        <f>SUM(X73:X80)</f>
        <v>7.8352018732876925</v>
      </c>
      <c r="Y72" s="481"/>
      <c r="Z72" s="481"/>
      <c r="AA72" s="481"/>
      <c r="AB72" s="481"/>
      <c r="AC72" s="481"/>
      <c r="AD72" s="481">
        <f>SUM(AD73:AD80)</f>
        <v>10.496572153130046</v>
      </c>
      <c r="AE72" s="488"/>
      <c r="AF72" s="481">
        <f>SUM(AF73:AF80)</f>
        <v>21.493904917152438</v>
      </c>
      <c r="AG72" s="487">
        <f>SUM(AG73:AG81)</f>
        <v>102.70650363636364</v>
      </c>
      <c r="AH72" s="487"/>
    </row>
    <row r="73" spans="1:35" ht="12.75">
      <c r="A73" t="s">
        <v>531</v>
      </c>
      <c r="B73" s="24">
        <v>0.5405313657609925</v>
      </c>
      <c r="C73" s="24"/>
      <c r="D73" s="24"/>
      <c r="E73" s="24"/>
      <c r="F73" s="24"/>
      <c r="G73" s="24"/>
      <c r="H73" s="24"/>
      <c r="I73" s="24"/>
      <c r="J73" s="24"/>
      <c r="K73" s="24"/>
      <c r="L73" s="24"/>
      <c r="M73" s="24"/>
      <c r="N73" s="24"/>
      <c r="O73" s="24"/>
      <c r="P73" s="24">
        <v>15.40000000000001</v>
      </c>
      <c r="Q73" s="24"/>
      <c r="R73" s="24">
        <v>0.45728953543379963</v>
      </c>
      <c r="S73" s="24"/>
      <c r="T73" s="24">
        <v>0.020045568676550118</v>
      </c>
      <c r="U73" s="24"/>
      <c r="V73" s="24"/>
      <c r="W73" s="24"/>
      <c r="X73" s="118">
        <v>0.5682818491958577</v>
      </c>
      <c r="Y73" s="118"/>
      <c r="Z73" s="118"/>
      <c r="AA73" s="118"/>
      <c r="AB73" s="118"/>
      <c r="AC73" s="118"/>
      <c r="AD73" s="118">
        <v>0.7402702723440197</v>
      </c>
      <c r="AE73" s="465">
        <f>Veg!$E$12/Veg!$B$12</f>
        <v>2.743248389097789</v>
      </c>
      <c r="AF73" s="477">
        <f aca="true" t="shared" si="4" ref="AF73:AF80">X73*AE73</f>
        <v>1.5589382673600491</v>
      </c>
      <c r="AG73" s="208">
        <v>5.303999999999999</v>
      </c>
      <c r="AI73" s="118"/>
    </row>
    <row r="74" spans="1:33" ht="12.75">
      <c r="A74" t="s">
        <v>532</v>
      </c>
      <c r="B74" s="24">
        <v>0.50143551976476</v>
      </c>
      <c r="C74" s="24"/>
      <c r="D74" s="24"/>
      <c r="E74" s="24"/>
      <c r="F74" s="24"/>
      <c r="G74" s="24"/>
      <c r="H74" s="24"/>
      <c r="I74" s="24"/>
      <c r="J74" s="24"/>
      <c r="K74" s="24"/>
      <c r="L74" s="24"/>
      <c r="M74" s="24"/>
      <c r="N74" s="24"/>
      <c r="O74" s="24"/>
      <c r="P74" s="24">
        <v>15.4</v>
      </c>
      <c r="Q74" s="24"/>
      <c r="R74" s="24">
        <v>0.42421444972098693</v>
      </c>
      <c r="S74" s="24"/>
      <c r="T74" s="24">
        <v>0.01859570190557751</v>
      </c>
      <c r="U74" s="24"/>
      <c r="V74" s="24"/>
      <c r="W74" s="24"/>
      <c r="X74" s="118">
        <v>0.5271788511721696</v>
      </c>
      <c r="Y74" s="118"/>
      <c r="Z74" s="118"/>
      <c r="AA74" s="118"/>
      <c r="AB74" s="118"/>
      <c r="AC74" s="118"/>
      <c r="AD74" s="118">
        <v>0.6719296543753754</v>
      </c>
      <c r="AE74" s="465">
        <f>Veg!$E$12/Veg!$B$12</f>
        <v>2.743248389097789</v>
      </c>
      <c r="AF74" s="477">
        <f t="shared" si="4"/>
        <v>1.4461825342444772</v>
      </c>
      <c r="AG74" s="208">
        <v>4.8285</v>
      </c>
    </row>
    <row r="75" spans="1:33" ht="12.75">
      <c r="A75" t="s">
        <v>533</v>
      </c>
      <c r="B75" s="24">
        <v>0.9740529890881439</v>
      </c>
      <c r="C75" s="24"/>
      <c r="D75" s="24"/>
      <c r="E75" s="24"/>
      <c r="F75" s="24"/>
      <c r="G75" s="24"/>
      <c r="H75" s="24"/>
      <c r="I75" s="24"/>
      <c r="J75" s="24"/>
      <c r="K75" s="24"/>
      <c r="L75" s="24"/>
      <c r="M75" s="24"/>
      <c r="N75" s="24"/>
      <c r="O75" s="24"/>
      <c r="P75" s="24">
        <v>15.400000000000002</v>
      </c>
      <c r="Q75" s="24"/>
      <c r="R75" s="24">
        <v>0.8240488287685697</v>
      </c>
      <c r="S75" s="24"/>
      <c r="T75" s="24">
        <v>0.036122688384375656</v>
      </c>
      <c r="U75" s="24"/>
      <c r="V75" s="24"/>
      <c r="W75" s="24"/>
      <c r="X75" s="118">
        <v>1.0240601543528576</v>
      </c>
      <c r="Y75" s="118"/>
      <c r="Z75" s="118"/>
      <c r="AA75" s="118"/>
      <c r="AB75" s="118"/>
      <c r="AC75" s="118"/>
      <c r="AD75" s="118">
        <v>1.2008015007893917</v>
      </c>
      <c r="AE75" s="465">
        <f>Veg!$E$12/Veg!$B$12</f>
        <v>2.743248389097789</v>
      </c>
      <c r="AF75" s="477">
        <f t="shared" si="4"/>
        <v>2.80925136876771</v>
      </c>
      <c r="AG75" s="208">
        <v>9.76194</v>
      </c>
    </row>
    <row r="76" spans="1:33" ht="12.75">
      <c r="A76" t="s">
        <v>534</v>
      </c>
      <c r="B76" s="24">
        <v>0.8793752266933899</v>
      </c>
      <c r="C76" s="24"/>
      <c r="D76" s="24"/>
      <c r="E76" s="24"/>
      <c r="F76" s="24"/>
      <c r="G76" s="24"/>
      <c r="H76" s="24"/>
      <c r="I76" s="24"/>
      <c r="J76" s="24"/>
      <c r="K76" s="24"/>
      <c r="L76" s="24"/>
      <c r="M76" s="24"/>
      <c r="N76" s="24"/>
      <c r="O76" s="24"/>
      <c r="P76" s="24">
        <v>15.40000000000001</v>
      </c>
      <c r="Q76" s="24"/>
      <c r="R76" s="24">
        <v>0.7439514417826079</v>
      </c>
      <c r="S76" s="24"/>
      <c r="T76" s="24">
        <v>0.03261157005074446</v>
      </c>
      <c r="U76" s="24"/>
      <c r="V76" s="24"/>
      <c r="W76" s="24"/>
      <c r="X76" s="118">
        <v>0.9245217051535798</v>
      </c>
      <c r="Y76" s="118"/>
      <c r="Z76" s="118"/>
      <c r="AA76" s="118"/>
      <c r="AB76" s="118"/>
      <c r="AC76" s="118"/>
      <c r="AD76" s="118">
        <v>1.292355278204925</v>
      </c>
      <c r="AE76" s="465">
        <f>Veg!$E$12/Veg!$B$12</f>
        <v>2.743248389097789</v>
      </c>
      <c r="AF76" s="477">
        <f t="shared" si="4"/>
        <v>2.536192678348499</v>
      </c>
      <c r="AG76" s="208">
        <v>8.559800000000001</v>
      </c>
    </row>
    <row r="77" spans="1:33" ht="12.75">
      <c r="A77" t="s">
        <v>535</v>
      </c>
      <c r="B77" s="24">
        <v>2.8621748333117103</v>
      </c>
      <c r="C77" s="24"/>
      <c r="D77" s="24"/>
      <c r="E77" s="24"/>
      <c r="F77" s="24"/>
      <c r="G77" s="24"/>
      <c r="H77" s="24"/>
      <c r="I77" s="24"/>
      <c r="J77" s="24"/>
      <c r="K77" s="24"/>
      <c r="L77" s="24"/>
      <c r="M77" s="24"/>
      <c r="N77" s="24"/>
      <c r="O77" s="24"/>
      <c r="P77" s="24">
        <v>15.400000000000006</v>
      </c>
      <c r="Q77" s="24"/>
      <c r="R77" s="24">
        <v>2.421399908981707</v>
      </c>
      <c r="S77" s="24"/>
      <c r="T77" s="24">
        <v>0.10614355765399264</v>
      </c>
      <c r="U77" s="24"/>
      <c r="V77" s="24"/>
      <c r="W77" s="24"/>
      <c r="X77" s="118">
        <v>3.0091167877118634</v>
      </c>
      <c r="Y77" s="118"/>
      <c r="Z77" s="118"/>
      <c r="AA77" s="118"/>
      <c r="AB77" s="118"/>
      <c r="AC77" s="118"/>
      <c r="AD77" s="118">
        <v>4.307788243461195</v>
      </c>
      <c r="AE77" s="465">
        <f>Veg!$E$12/Veg!$B$12</f>
        <v>2.743248389097789</v>
      </c>
      <c r="AF77" s="477">
        <f t="shared" si="4"/>
        <v>8.254754780497683</v>
      </c>
      <c r="AG77" s="208">
        <v>28.6275</v>
      </c>
    </row>
    <row r="78" spans="1:33" ht="12.75">
      <c r="A78" t="s">
        <v>536</v>
      </c>
      <c r="B78" s="24">
        <v>0.22584582125798797</v>
      </c>
      <c r="C78" s="24"/>
      <c r="D78" s="24"/>
      <c r="E78" s="24"/>
      <c r="F78" s="24"/>
      <c r="G78" s="24"/>
      <c r="H78" s="24"/>
      <c r="I78" s="24"/>
      <c r="J78" s="24"/>
      <c r="K78" s="24"/>
      <c r="L78" s="24"/>
      <c r="M78" s="24"/>
      <c r="N78" s="24"/>
      <c r="O78" s="24"/>
      <c r="P78" s="24">
        <v>15.400000000000002</v>
      </c>
      <c r="Q78" s="24"/>
      <c r="R78" s="24">
        <v>0.19106556478425782</v>
      </c>
      <c r="S78" s="24"/>
      <c r="T78" s="24">
        <v>0.008375476812460616</v>
      </c>
      <c r="U78" s="24"/>
      <c r="V78" s="24"/>
      <c r="W78" s="24"/>
      <c r="X78" s="465">
        <v>0.23744057989485223</v>
      </c>
      <c r="Y78" s="465"/>
      <c r="Z78" s="465"/>
      <c r="AA78" s="465"/>
      <c r="AB78" s="465"/>
      <c r="AC78" s="465"/>
      <c r="AD78" s="465">
        <v>0.28009939594375793</v>
      </c>
      <c r="AE78" s="465">
        <f>Veg!$E$12/Veg!$B$12</f>
        <v>2.743248389097789</v>
      </c>
      <c r="AF78" s="477">
        <f t="shared" si="4"/>
        <v>0.6513584883029983</v>
      </c>
      <c r="AG78" s="208">
        <v>2.2035</v>
      </c>
    </row>
    <row r="79" spans="1:33" ht="12.75">
      <c r="A79" t="s">
        <v>537</v>
      </c>
      <c r="B79" s="24">
        <v>0.1118359057102252</v>
      </c>
      <c r="C79" s="24"/>
      <c r="D79" s="24"/>
      <c r="E79" s="24"/>
      <c r="F79" s="24"/>
      <c r="G79" s="24"/>
      <c r="H79" s="24"/>
      <c r="I79" s="24"/>
      <c r="J79" s="24"/>
      <c r="K79" s="24"/>
      <c r="L79" s="24"/>
      <c r="M79" s="24"/>
      <c r="N79" s="24"/>
      <c r="O79" s="24"/>
      <c r="P79" s="24">
        <v>15.400000000000002</v>
      </c>
      <c r="Q79" s="24"/>
      <c r="R79" s="24">
        <v>0.0946131762308505</v>
      </c>
      <c r="S79" s="24"/>
      <c r="T79" s="24">
        <v>0.004147426903270159</v>
      </c>
      <c r="U79" s="24"/>
      <c r="V79" s="24"/>
      <c r="W79" s="24"/>
      <c r="X79" s="465">
        <v>0.11757747899425738</v>
      </c>
      <c r="Y79" s="465"/>
      <c r="Z79" s="465"/>
      <c r="AA79" s="465"/>
      <c r="AB79" s="465"/>
      <c r="AC79" s="465"/>
      <c r="AD79" s="465">
        <v>0.14441960571086251</v>
      </c>
      <c r="AE79" s="465">
        <f>Veg!$E$12/Veg!$B$12</f>
        <v>2.743248389097789</v>
      </c>
      <c r="AF79" s="483">
        <f t="shared" si="4"/>
        <v>0.32254422984517567</v>
      </c>
      <c r="AG79" s="208">
        <v>1.0768</v>
      </c>
    </row>
    <row r="80" spans="1:33" ht="12.75">
      <c r="A80" t="s">
        <v>538</v>
      </c>
      <c r="B80" s="24">
        <v>1.3573396460081804</v>
      </c>
      <c r="C80" s="24"/>
      <c r="D80" s="24"/>
      <c r="E80" s="24"/>
      <c r="F80" s="24"/>
      <c r="G80" s="24"/>
      <c r="H80" s="24"/>
      <c r="I80" s="24"/>
      <c r="J80" s="24"/>
      <c r="K80" s="24"/>
      <c r="L80" s="24"/>
      <c r="M80" s="24"/>
      <c r="N80" s="24"/>
      <c r="O80" s="24"/>
      <c r="P80" s="24">
        <v>15.400000000000006</v>
      </c>
      <c r="Q80" s="24"/>
      <c r="R80" s="24">
        <v>1.1483093405229206</v>
      </c>
      <c r="S80" s="24"/>
      <c r="T80" s="24">
        <v>0.050336847803744464</v>
      </c>
      <c r="U80" s="24"/>
      <c r="V80" s="24"/>
      <c r="W80" s="24"/>
      <c r="X80" s="118">
        <v>1.4270244668122536</v>
      </c>
      <c r="Y80" s="118"/>
      <c r="Z80" s="118"/>
      <c r="AA80" s="118"/>
      <c r="AB80" s="118"/>
      <c r="AC80" s="118"/>
      <c r="AD80" s="118">
        <v>1.8589082023005195</v>
      </c>
      <c r="AE80" s="465">
        <f>Veg!$E$12/Veg!$B$12</f>
        <v>2.743248389097789</v>
      </c>
      <c r="AF80" s="477">
        <f t="shared" si="4"/>
        <v>3.914682569785846</v>
      </c>
      <c r="AG80" s="208">
        <v>38.772363636363636</v>
      </c>
    </row>
    <row r="81" spans="1:33" ht="12.75">
      <c r="A81" s="1140" t="s">
        <v>1226</v>
      </c>
      <c r="B81" s="8"/>
      <c r="C81" s="8"/>
      <c r="D81" s="8"/>
      <c r="E81" s="8"/>
      <c r="F81" s="8"/>
      <c r="G81" s="8"/>
      <c r="H81" s="8"/>
      <c r="I81" s="8"/>
      <c r="J81" s="8"/>
      <c r="K81" s="8"/>
      <c r="L81" s="8"/>
      <c r="M81" s="8"/>
      <c r="N81" s="8"/>
      <c r="O81" s="8"/>
      <c r="P81" s="8"/>
      <c r="Q81" s="8"/>
      <c r="R81" s="8"/>
      <c r="S81" s="8"/>
      <c r="T81" s="8"/>
      <c r="U81" s="8"/>
      <c r="V81" s="8"/>
      <c r="W81" s="8"/>
      <c r="X81" s="118"/>
      <c r="Y81" s="118"/>
      <c r="Z81" s="118"/>
      <c r="AA81" s="118"/>
      <c r="AB81" s="118"/>
      <c r="AC81" s="118"/>
      <c r="AD81" s="118"/>
      <c r="AF81" s="26">
        <v>2.43</v>
      </c>
      <c r="AG81" s="208">
        <v>3.5721000000000003</v>
      </c>
    </row>
    <row r="82" spans="1:32" ht="12.75">
      <c r="A82" s="8"/>
      <c r="B82" s="8"/>
      <c r="C82" s="8"/>
      <c r="D82" s="8"/>
      <c r="E82" s="8"/>
      <c r="F82" s="8"/>
      <c r="G82" s="8"/>
      <c r="H82" s="8"/>
      <c r="I82" s="8"/>
      <c r="J82" s="8"/>
      <c r="K82" s="8"/>
      <c r="L82" s="8"/>
      <c r="M82" s="8"/>
      <c r="N82" s="8"/>
      <c r="O82" s="8"/>
      <c r="P82" s="8"/>
      <c r="Q82" s="8"/>
      <c r="R82" s="8"/>
      <c r="S82" s="8"/>
      <c r="T82" s="8"/>
      <c r="U82" s="8"/>
      <c r="V82" s="8"/>
      <c r="W82" s="8"/>
      <c r="X82" s="118"/>
      <c r="Y82" s="118"/>
      <c r="Z82" s="118"/>
      <c r="AA82" s="118"/>
      <c r="AB82" s="118"/>
      <c r="AC82" s="118"/>
      <c r="AD82" s="118"/>
      <c r="AF82" s="483"/>
    </row>
    <row r="83" spans="1:34" ht="12.75">
      <c r="A83" s="8" t="s">
        <v>698</v>
      </c>
      <c r="X83" s="468">
        <f>SUM(X84:X144)</f>
        <v>146.8466861123473</v>
      </c>
      <c r="Y83" s="468"/>
      <c r="Z83" s="468"/>
      <c r="AA83" s="468"/>
      <c r="AB83" s="468"/>
      <c r="AC83" s="468"/>
      <c r="AD83" s="468">
        <f>SUM(AD84:AD144)</f>
        <v>79.36979359062757</v>
      </c>
      <c r="AE83" s="469"/>
      <c r="AF83" s="476">
        <f>SUM(AF84:AF144)</f>
        <v>384.3024063935947</v>
      </c>
      <c r="AG83" s="1136">
        <f>SUM(AG84:AG144)</f>
        <v>203.88120941628665</v>
      </c>
      <c r="AH83" s="1136"/>
    </row>
    <row r="84" spans="1:35" ht="12.75">
      <c r="A84" s="14" t="s">
        <v>699</v>
      </c>
      <c r="B84" s="208">
        <v>16.345637175774506</v>
      </c>
      <c r="C84" s="208"/>
      <c r="D84" s="208">
        <v>4</v>
      </c>
      <c r="E84" s="208"/>
      <c r="F84" s="208">
        <v>15.691811688743524</v>
      </c>
      <c r="G84" s="208"/>
      <c r="H84" s="208">
        <v>8.619981232754515</v>
      </c>
      <c r="I84" s="208"/>
      <c r="J84" s="208">
        <v>14.339180466094657</v>
      </c>
      <c r="K84" s="208"/>
      <c r="L84" s="208">
        <v>10</v>
      </c>
      <c r="M84" s="208"/>
      <c r="N84" s="208">
        <v>20</v>
      </c>
      <c r="O84" s="208"/>
      <c r="P84" s="41">
        <f>0.01*38.592627388411</f>
        <v>0.38592627388411005</v>
      </c>
      <c r="Q84" s="208"/>
      <c r="R84" s="208">
        <v>10.03742632626626</v>
      </c>
      <c r="S84" s="208"/>
      <c r="T84" s="208"/>
      <c r="U84" s="208"/>
      <c r="V84" s="208">
        <v>0.4399967704664662</v>
      </c>
      <c r="W84" s="208"/>
      <c r="X84" s="15">
        <v>12.473688444339084</v>
      </c>
      <c r="Y84" s="15"/>
      <c r="Z84" s="15">
        <v>58.3</v>
      </c>
      <c r="AA84" s="15"/>
      <c r="AB84" s="473">
        <v>111.6</v>
      </c>
      <c r="AC84" s="15"/>
      <c r="AD84" s="15">
        <v>6.516272726747029</v>
      </c>
      <c r="AE84" s="465">
        <f>Fruit!$D$8/Fruit!$B$8</f>
        <v>2.406056691927649</v>
      </c>
      <c r="AF84" s="982">
        <f aca="true" t="shared" si="5" ref="AF84:AF104">AE84*X84</f>
        <v>30.012401554522636</v>
      </c>
      <c r="AG84" s="208">
        <v>15.6052</v>
      </c>
      <c r="AH84"/>
      <c r="AI84" s="118"/>
    </row>
    <row r="85" spans="1:34" ht="12.75">
      <c r="A85" s="14" t="s">
        <v>700</v>
      </c>
      <c r="B85" s="208">
        <v>4.156237849200584</v>
      </c>
      <c r="C85" s="208"/>
      <c r="D85" s="208">
        <v>20</v>
      </c>
      <c r="E85" s="208"/>
      <c r="F85" s="208">
        <v>3.324990279360466</v>
      </c>
      <c r="G85" s="208"/>
      <c r="H85" s="208">
        <v>6</v>
      </c>
      <c r="I85" s="208"/>
      <c r="J85" s="208">
        <v>3.1254908625988382</v>
      </c>
      <c r="K85" s="208"/>
      <c r="L85" s="208">
        <v>0</v>
      </c>
      <c r="M85" s="208"/>
      <c r="N85" s="208">
        <v>8</v>
      </c>
      <c r="O85" s="208"/>
      <c r="P85" s="41">
        <f>0.01*30.816</f>
        <v>0.30816</v>
      </c>
      <c r="Q85" s="208"/>
      <c r="R85" s="208">
        <v>2.875451593590931</v>
      </c>
      <c r="S85" s="208"/>
      <c r="T85" s="208"/>
      <c r="U85" s="208"/>
      <c r="V85" s="208">
        <v>0.12604719314371204</v>
      </c>
      <c r="W85" s="208"/>
      <c r="X85" s="15">
        <v>3.573374902027665</v>
      </c>
      <c r="Y85" s="15"/>
      <c r="Z85" s="15">
        <v>102</v>
      </c>
      <c r="AA85" s="15"/>
      <c r="AB85" s="473">
        <v>244</v>
      </c>
      <c r="AC85" s="15"/>
      <c r="AD85" s="15">
        <v>1.4937878688804171</v>
      </c>
      <c r="AE85" s="465">
        <f>Fruit!$D$8/Fruit!$B$8</f>
        <v>2.406056691927649</v>
      </c>
      <c r="AF85" s="477">
        <f t="shared" si="5"/>
        <v>8.59774259578997</v>
      </c>
      <c r="AG85" s="208">
        <v>5.3618999999999994</v>
      </c>
      <c r="AH85"/>
    </row>
    <row r="86" spans="1:34" ht="12.75">
      <c r="A86" s="14" t="s">
        <v>701</v>
      </c>
      <c r="B86" s="208">
        <v>0.04452596618127151</v>
      </c>
      <c r="C86" s="208"/>
      <c r="D86" s="208">
        <v>40.11976047904191</v>
      </c>
      <c r="E86" s="208"/>
      <c r="F86" s="208">
        <v>0.02666225519836618</v>
      </c>
      <c r="G86" s="208"/>
      <c r="H86" s="208">
        <v>6</v>
      </c>
      <c r="I86" s="208"/>
      <c r="J86" s="208">
        <v>0.025062519886464206</v>
      </c>
      <c r="K86" s="208"/>
      <c r="L86" s="208">
        <v>0</v>
      </c>
      <c r="M86" s="208"/>
      <c r="N86" s="208">
        <v>35</v>
      </c>
      <c r="O86" s="208"/>
      <c r="P86" s="41">
        <f>0.01*63.4131736526946</f>
        <v>0.634131736526946</v>
      </c>
      <c r="Q86" s="208"/>
      <c r="R86" s="208">
        <v>0.01629063792620174</v>
      </c>
      <c r="S86" s="208"/>
      <c r="T86" s="208"/>
      <c r="U86" s="208"/>
      <c r="V86" s="208">
        <v>0.0007141101556691174</v>
      </c>
      <c r="W86" s="208"/>
      <c r="X86" s="42">
        <v>0.02024466585814164</v>
      </c>
      <c r="Y86" s="42"/>
      <c r="Z86" s="42">
        <v>83</v>
      </c>
      <c r="AA86" s="42"/>
      <c r="AB86" s="464">
        <v>173</v>
      </c>
      <c r="AC86" s="42"/>
      <c r="AD86" s="42">
        <v>0.00971275876431073</v>
      </c>
      <c r="AE86" s="465">
        <f>Fruit!$D$8/Fruit!$B$8</f>
        <v>2.406056691927649</v>
      </c>
      <c r="AF86" s="483">
        <f t="shared" si="5"/>
        <v>0.04870981376382089</v>
      </c>
      <c r="AG86" s="208">
        <v>0.024000000000000004</v>
      </c>
      <c r="AH86"/>
    </row>
    <row r="87" spans="1:34" ht="12.75">
      <c r="A87" s="14" t="s">
        <v>702</v>
      </c>
      <c r="B87" s="208">
        <v>0.9065006359593581</v>
      </c>
      <c r="C87" s="208"/>
      <c r="D87" s="208">
        <v>87.5</v>
      </c>
      <c r="E87" s="208"/>
      <c r="F87" s="208">
        <v>0.1133125794949198</v>
      </c>
      <c r="G87" s="208"/>
      <c r="H87" s="208">
        <v>6</v>
      </c>
      <c r="I87" s="208"/>
      <c r="J87" s="208">
        <v>0.10651382472522461</v>
      </c>
      <c r="K87" s="208"/>
      <c r="L87" s="208">
        <v>0</v>
      </c>
      <c r="M87" s="208"/>
      <c r="N87" s="208">
        <v>11</v>
      </c>
      <c r="O87" s="208"/>
      <c r="P87" s="41">
        <f>0.01*89.5425</f>
        <v>0.895425</v>
      </c>
      <c r="Q87" s="208"/>
      <c r="R87" s="208">
        <v>0.0947973040054499</v>
      </c>
      <c r="S87" s="208"/>
      <c r="T87" s="208"/>
      <c r="U87" s="208"/>
      <c r="V87" s="208">
        <v>0.004155498257773146</v>
      </c>
      <c r="W87" s="208"/>
      <c r="X87" s="42">
        <v>0.11780629785873979</v>
      </c>
      <c r="Y87" s="42"/>
      <c r="Z87" s="42">
        <v>104</v>
      </c>
      <c r="AA87" s="42"/>
      <c r="AB87" s="464">
        <v>43</v>
      </c>
      <c r="AC87" s="42"/>
      <c r="AD87" s="42">
        <v>0.2849268599374172</v>
      </c>
      <c r="AE87" s="465">
        <f>Fruit!$D$8/Fruit!$B$8</f>
        <v>2.406056691927649</v>
      </c>
      <c r="AF87" s="483">
        <f t="shared" si="5"/>
        <v>0.28344863131424275</v>
      </c>
      <c r="AG87" s="208">
        <v>0.7047</v>
      </c>
      <c r="AH87"/>
    </row>
    <row r="88" spans="1:35" ht="12.75">
      <c r="A88" s="14" t="s">
        <v>703</v>
      </c>
      <c r="B88" s="208">
        <v>26.014954522888424</v>
      </c>
      <c r="C88" s="208"/>
      <c r="D88" s="208">
        <v>26.666666666666664</v>
      </c>
      <c r="E88" s="208"/>
      <c r="F88" s="208">
        <v>19.077633316784844</v>
      </c>
      <c r="G88" s="208"/>
      <c r="H88" s="208">
        <v>6</v>
      </c>
      <c r="I88" s="208"/>
      <c r="J88" s="208">
        <v>17.932975317777753</v>
      </c>
      <c r="K88" s="208"/>
      <c r="L88" s="208">
        <v>0</v>
      </c>
      <c r="M88" s="208"/>
      <c r="N88" s="208">
        <v>10</v>
      </c>
      <c r="O88" s="208"/>
      <c r="P88" s="41">
        <f>0.01*37.96</f>
        <v>0.3796</v>
      </c>
      <c r="Q88" s="208"/>
      <c r="R88" s="208">
        <v>16.13967778599998</v>
      </c>
      <c r="S88" s="208"/>
      <c r="T88" s="208">
        <v>1.834054293863634</v>
      </c>
      <c r="U88" s="208"/>
      <c r="V88" s="208">
        <v>0.7074927248657525</v>
      </c>
      <c r="W88" s="208"/>
      <c r="X88" s="15">
        <v>20.057065003581652</v>
      </c>
      <c r="Y88" s="15"/>
      <c r="Z88" s="15">
        <v>114</v>
      </c>
      <c r="AA88" s="15"/>
      <c r="AB88" s="473">
        <v>248</v>
      </c>
      <c r="AC88" s="15"/>
      <c r="AD88" s="15">
        <v>9.219779880678661</v>
      </c>
      <c r="AE88" s="465">
        <f>Fruit!$D$8/Fruit!$B$8</f>
        <v>2.406056691927649</v>
      </c>
      <c r="AF88" s="982">
        <f t="shared" si="5"/>
        <v>48.25843547229549</v>
      </c>
      <c r="AG88" s="208">
        <v>22.440899999999996</v>
      </c>
      <c r="AH88"/>
      <c r="AI88" s="465"/>
    </row>
    <row r="89" spans="1:34" ht="12.75">
      <c r="A89" s="14" t="s">
        <v>704</v>
      </c>
      <c r="B89" s="272">
        <v>0.8053338978481657</v>
      </c>
      <c r="C89" s="208"/>
      <c r="D89" s="208">
        <v>8</v>
      </c>
      <c r="E89" s="208"/>
      <c r="F89" s="208">
        <v>0.7409071860203124</v>
      </c>
      <c r="G89" s="208"/>
      <c r="H89" s="208">
        <v>5.246767404572406</v>
      </c>
      <c r="I89" s="208"/>
      <c r="J89" s="208">
        <v>0.702033509286064</v>
      </c>
      <c r="K89" s="208"/>
      <c r="L89" s="208">
        <v>5</v>
      </c>
      <c r="M89" s="208"/>
      <c r="N89" s="208">
        <v>8</v>
      </c>
      <c r="O89" s="208"/>
      <c r="P89" s="41">
        <f>0.01*24.1595126306198</f>
        <v>0.241595126306198</v>
      </c>
      <c r="Q89" s="208"/>
      <c r="R89" s="208">
        <v>0.6107691530788757</v>
      </c>
      <c r="S89" s="208"/>
      <c r="T89" s="208"/>
      <c r="U89" s="208"/>
      <c r="V89" s="208">
        <v>0.026773442326745233</v>
      </c>
      <c r="W89" s="208"/>
      <c r="X89" s="15">
        <v>0.7590137032420641</v>
      </c>
      <c r="Y89" s="15"/>
      <c r="Z89" s="15">
        <v>84</v>
      </c>
      <c r="AA89" s="15"/>
      <c r="AB89" s="473">
        <v>148</v>
      </c>
      <c r="AC89" s="15"/>
      <c r="AD89" s="42">
        <v>0.43079156129954993</v>
      </c>
      <c r="AE89" s="465">
        <f>Fruit!$D$9/Fruit!$B$9</f>
        <v>1.959521028224791</v>
      </c>
      <c r="AF89" s="477">
        <f t="shared" si="5"/>
        <v>1.4873033122135957</v>
      </c>
      <c r="AG89" s="208">
        <v>0.7809</v>
      </c>
      <c r="AH89"/>
    </row>
    <row r="90" spans="1:34" ht="12.75">
      <c r="A90" s="14" t="s">
        <v>705</v>
      </c>
      <c r="B90" s="208">
        <v>1.7632073620218294</v>
      </c>
      <c r="C90" s="208"/>
      <c r="D90" s="208">
        <v>2.9126213592232997</v>
      </c>
      <c r="E90" s="208"/>
      <c r="F90" s="208">
        <v>1.7118518077881837</v>
      </c>
      <c r="G90" s="208"/>
      <c r="H90" s="208">
        <v>6</v>
      </c>
      <c r="I90" s="208"/>
      <c r="J90" s="208">
        <v>1.6091406993208928</v>
      </c>
      <c r="K90" s="208"/>
      <c r="L90" s="208">
        <v>0</v>
      </c>
      <c r="M90" s="208"/>
      <c r="N90" s="208">
        <v>29</v>
      </c>
      <c r="O90" s="208"/>
      <c r="P90" s="41">
        <f>0.01*35.2038834951456</f>
        <v>0.352038834951456</v>
      </c>
      <c r="Q90" s="208"/>
      <c r="R90" s="208">
        <v>1.142489896517834</v>
      </c>
      <c r="S90" s="208"/>
      <c r="T90" s="208"/>
      <c r="U90" s="208"/>
      <c r="V90" s="208">
        <v>0.050081748888452994</v>
      </c>
      <c r="W90" s="208"/>
      <c r="X90" s="15">
        <v>1.4197925401131979</v>
      </c>
      <c r="Y90" s="15"/>
      <c r="Z90" s="15">
        <v>79</v>
      </c>
      <c r="AA90" s="15"/>
      <c r="AB90" s="473">
        <v>155</v>
      </c>
      <c r="AC90" s="15"/>
      <c r="AD90" s="15">
        <v>0.7236361978641461</v>
      </c>
      <c r="AE90" s="465">
        <f>Fruit!$D$9/Fruit!$B$9</f>
        <v>1.959521028224791</v>
      </c>
      <c r="AF90" s="477">
        <f t="shared" si="5"/>
        <v>2.7821133380685015</v>
      </c>
      <c r="AG90" s="208">
        <v>1.3107</v>
      </c>
      <c r="AH90"/>
    </row>
    <row r="91" spans="1:34" ht="12.75">
      <c r="A91" s="14" t="s">
        <v>706</v>
      </c>
      <c r="B91" s="272">
        <v>0.08874573851238844</v>
      </c>
      <c r="C91" s="208"/>
      <c r="D91" s="208">
        <v>4</v>
      </c>
      <c r="E91" s="208"/>
      <c r="F91" s="208">
        <v>0.08519590897189289</v>
      </c>
      <c r="G91" s="208"/>
      <c r="H91" s="208">
        <v>5.971997107778945</v>
      </c>
      <c r="I91" s="208"/>
      <c r="J91" s="208">
        <v>0.08010801175214546</v>
      </c>
      <c r="K91" s="208"/>
      <c r="L91" s="208">
        <v>2</v>
      </c>
      <c r="M91" s="208"/>
      <c r="N91" s="208">
        <v>26</v>
      </c>
      <c r="O91" s="208"/>
      <c r="P91" s="41">
        <f>0.01*35.0078444008968</f>
        <v>0.35007844400896804</v>
      </c>
      <c r="Q91" s="208"/>
      <c r="R91" s="208">
        <v>0.05767776846154473</v>
      </c>
      <c r="S91" s="208"/>
      <c r="T91" s="208"/>
      <c r="U91" s="208"/>
      <c r="V91" s="208">
        <v>0.0025283405353005908</v>
      </c>
      <c r="W91" s="208"/>
      <c r="X91" s="42">
        <v>0.07167719000550411</v>
      </c>
      <c r="Y91" s="15"/>
      <c r="Z91" s="15">
        <v>51</v>
      </c>
      <c r="AA91" s="15"/>
      <c r="AB91" s="473">
        <v>110</v>
      </c>
      <c r="AC91" s="15"/>
      <c r="AD91" s="42">
        <v>0.033232151729824626</v>
      </c>
      <c r="AE91" s="465">
        <f>Fruit!D10/Fruit!B10</f>
        <v>5.623047490738964</v>
      </c>
      <c r="AF91" s="483">
        <f t="shared" si="5"/>
        <v>0.40304424340366984</v>
      </c>
      <c r="AG91" s="208">
        <v>0.1656</v>
      </c>
      <c r="AH91"/>
    </row>
    <row r="92" spans="1:34" ht="12.75">
      <c r="A92" s="14" t="s">
        <v>707</v>
      </c>
      <c r="B92" s="208">
        <v>2.2260318365892546</v>
      </c>
      <c r="C92" s="208"/>
      <c r="D92" s="208">
        <v>3.199999999999989</v>
      </c>
      <c r="E92" s="208"/>
      <c r="F92" s="208">
        <v>2.1547988178183983</v>
      </c>
      <c r="G92" s="208"/>
      <c r="H92" s="208">
        <v>6</v>
      </c>
      <c r="I92" s="208"/>
      <c r="J92" s="208">
        <v>2.0255108887492943</v>
      </c>
      <c r="K92" s="208"/>
      <c r="L92" s="208">
        <v>0</v>
      </c>
      <c r="M92" s="208"/>
      <c r="N92" s="208">
        <v>10</v>
      </c>
      <c r="O92" s="208"/>
      <c r="P92" s="41">
        <f>0.01*18.1072</f>
        <v>0.18107199999999998</v>
      </c>
      <c r="Q92" s="208"/>
      <c r="R92" s="208">
        <v>1.822959799874365</v>
      </c>
      <c r="S92" s="208"/>
      <c r="T92" s="208">
        <v>0.207154522712996</v>
      </c>
      <c r="U92" s="208"/>
      <c r="V92" s="208">
        <v>0.07991056656983518</v>
      </c>
      <c r="W92" s="208"/>
      <c r="X92" s="15">
        <v>2.2654246069715422</v>
      </c>
      <c r="Y92" s="15"/>
      <c r="Z92" s="15">
        <v>116</v>
      </c>
      <c r="AA92" s="15"/>
      <c r="AB92" s="473">
        <v>253</v>
      </c>
      <c r="AC92" s="15"/>
      <c r="AD92" s="15">
        <v>1.0386927051727228</v>
      </c>
      <c r="AE92" s="465">
        <f>Fruit!D10/Fruit!B10</f>
        <v>5.623047490738964</v>
      </c>
      <c r="AF92" s="982">
        <f t="shared" si="5"/>
        <v>12.738590151689634</v>
      </c>
      <c r="AG92" s="208">
        <v>6.003000000000001</v>
      </c>
      <c r="AH92"/>
    </row>
    <row r="93" spans="1:34" ht="12.75">
      <c r="A93" s="14" t="s">
        <v>708</v>
      </c>
      <c r="B93" s="208">
        <v>8.046972540727655</v>
      </c>
      <c r="C93" s="208"/>
      <c r="D93" s="208">
        <v>9</v>
      </c>
      <c r="E93" s="208"/>
      <c r="F93" s="208">
        <v>7.322745012062166</v>
      </c>
      <c r="G93" s="208"/>
      <c r="H93" s="208">
        <v>7.584522135785493</v>
      </c>
      <c r="I93" s="208"/>
      <c r="J93" s="208">
        <v>6.767349795675183</v>
      </c>
      <c r="K93" s="208"/>
      <c r="L93" s="208">
        <v>4</v>
      </c>
      <c r="M93" s="208"/>
      <c r="N93" s="208">
        <v>33</v>
      </c>
      <c r="O93" s="208"/>
      <c r="P93" s="41">
        <f>0.01*47.0182065404458</f>
        <v>0.47018206540445806</v>
      </c>
      <c r="Q93" s="208"/>
      <c r="R93" s="208">
        <v>4.263430371275365</v>
      </c>
      <c r="S93" s="208"/>
      <c r="T93" s="208"/>
      <c r="U93" s="208"/>
      <c r="V93" s="208">
        <v>0.18689009846686533</v>
      </c>
      <c r="W93" s="208"/>
      <c r="X93" s="15">
        <v>5.298240846486398</v>
      </c>
      <c r="Y93" s="15"/>
      <c r="Z93" s="15">
        <v>106</v>
      </c>
      <c r="AA93" s="15"/>
      <c r="AB93" s="473">
        <v>153.9</v>
      </c>
      <c r="AC93" s="15"/>
      <c r="AD93" s="15">
        <v>3.649210719477311</v>
      </c>
      <c r="AE93" s="465">
        <f>Fruit!$D$11/Fruit!$B$11</f>
        <v>2.292513806964878</v>
      </c>
      <c r="AF93" s="483">
        <f t="shared" si="5"/>
        <v>12.146290293195351</v>
      </c>
      <c r="AG93" s="208">
        <v>8.2416</v>
      </c>
      <c r="AH93"/>
    </row>
    <row r="94" spans="1:34" ht="12.75">
      <c r="A94" s="14" t="s">
        <v>709</v>
      </c>
      <c r="B94" s="208">
        <v>4.815096380581588</v>
      </c>
      <c r="C94" s="208"/>
      <c r="D94" s="208">
        <v>19.09090909090908</v>
      </c>
      <c r="E94" s="208"/>
      <c r="F94" s="208">
        <v>3.895850707925103</v>
      </c>
      <c r="G94" s="208"/>
      <c r="H94" s="208">
        <v>6</v>
      </c>
      <c r="I94" s="208"/>
      <c r="J94" s="208">
        <v>3.6620996654495976</v>
      </c>
      <c r="K94" s="208"/>
      <c r="L94" s="208">
        <v>0</v>
      </c>
      <c r="M94" s="208"/>
      <c r="N94" s="208">
        <v>10</v>
      </c>
      <c r="O94" s="208"/>
      <c r="P94" s="41">
        <f>0.01*31.5509090909091</f>
        <v>0.315509090909091</v>
      </c>
      <c r="Q94" s="208"/>
      <c r="R94" s="208">
        <v>3.295889698904638</v>
      </c>
      <c r="S94" s="208"/>
      <c r="T94" s="208">
        <v>0.370324685270184</v>
      </c>
      <c r="U94" s="208"/>
      <c r="V94" s="208">
        <v>0.14447735666431288</v>
      </c>
      <c r="W94" s="208"/>
      <c r="X94" s="15">
        <v>4.095860822754938</v>
      </c>
      <c r="Y94" s="15"/>
      <c r="Z94" s="15">
        <v>152</v>
      </c>
      <c r="AA94" s="15"/>
      <c r="AB94" s="473">
        <v>253</v>
      </c>
      <c r="AC94" s="15"/>
      <c r="AD94" s="15">
        <v>2.4607543282954567</v>
      </c>
      <c r="AE94" s="465">
        <f>Fruit!$D$11/Fruit!$B$11</f>
        <v>2.292513806964878</v>
      </c>
      <c r="AF94" s="483">
        <f t="shared" si="5"/>
        <v>9.38981748757222</v>
      </c>
      <c r="AG94" s="208">
        <v>5.621999999999999</v>
      </c>
      <c r="AH94"/>
    </row>
    <row r="95" spans="1:34" ht="12.75">
      <c r="A95" s="14" t="s">
        <v>710</v>
      </c>
      <c r="B95" s="208">
        <v>4.653683037397317</v>
      </c>
      <c r="C95" s="208"/>
      <c r="D95" s="208">
        <v>5</v>
      </c>
      <c r="E95" s="208"/>
      <c r="F95" s="208">
        <v>4.420998885527451</v>
      </c>
      <c r="G95" s="208"/>
      <c r="H95" s="208">
        <v>11.910544877832084</v>
      </c>
      <c r="I95" s="208"/>
      <c r="J95" s="208">
        <v>3.894433829218248</v>
      </c>
      <c r="K95" s="208"/>
      <c r="L95" s="208">
        <v>7</v>
      </c>
      <c r="M95" s="208"/>
      <c r="N95" s="208">
        <v>42</v>
      </c>
      <c r="O95" s="208"/>
      <c r="P95" s="41">
        <f>0.01*57.3206589933096</f>
        <v>0.573206589933096</v>
      </c>
      <c r="Q95" s="208"/>
      <c r="R95" s="208">
        <v>1.9861612529013066</v>
      </c>
      <c r="S95" s="208"/>
      <c r="T95" s="208"/>
      <c r="U95" s="208"/>
      <c r="V95" s="208">
        <v>0.08706460286690657</v>
      </c>
      <c r="W95" s="208"/>
      <c r="X95" s="15">
        <v>2.468237958975368</v>
      </c>
      <c r="Y95" s="15"/>
      <c r="Z95" s="15">
        <v>63.5</v>
      </c>
      <c r="AA95" s="15"/>
      <c r="AB95" s="473">
        <v>153.5</v>
      </c>
      <c r="AC95" s="15"/>
      <c r="AD95" s="15">
        <v>1.0210626084360643</v>
      </c>
      <c r="AE95" s="465">
        <f>Fruit!$D$12/Fruit!$B$12</f>
        <v>2.618722613156105</v>
      </c>
      <c r="AF95" s="483">
        <f t="shared" si="5"/>
        <v>6.463630557819066</v>
      </c>
      <c r="AG95" s="208">
        <v>2.5194</v>
      </c>
      <c r="AH95"/>
    </row>
    <row r="96" spans="1:34" ht="12.75">
      <c r="A96" s="14" t="s">
        <v>711</v>
      </c>
      <c r="B96" s="208">
        <v>3.1422988980151247</v>
      </c>
      <c r="C96" s="208"/>
      <c r="D96" s="208">
        <v>16.666666666666664</v>
      </c>
      <c r="E96" s="208"/>
      <c r="F96" s="208">
        <v>2.618582415012604</v>
      </c>
      <c r="G96" s="208"/>
      <c r="H96" s="208">
        <v>6</v>
      </c>
      <c r="I96" s="208"/>
      <c r="J96" s="208">
        <v>2.4614674701118475</v>
      </c>
      <c r="K96" s="208"/>
      <c r="L96" s="208">
        <v>0</v>
      </c>
      <c r="M96" s="208"/>
      <c r="N96" s="208">
        <v>9</v>
      </c>
      <c r="O96" s="208"/>
      <c r="P96" s="41">
        <f>0.01*28.7166666666667</f>
        <v>0.287166666666667</v>
      </c>
      <c r="Q96" s="208"/>
      <c r="R96" s="208">
        <v>2.239935397801781</v>
      </c>
      <c r="S96" s="208"/>
      <c r="T96" s="208"/>
      <c r="U96" s="208"/>
      <c r="V96" s="208">
        <v>0.09818894894473562</v>
      </c>
      <c r="W96" s="208"/>
      <c r="X96" s="15">
        <v>2.783607608108782</v>
      </c>
      <c r="Y96" s="15"/>
      <c r="Z96" s="15">
        <v>59</v>
      </c>
      <c r="AA96" s="15"/>
      <c r="AB96" s="473">
        <v>244</v>
      </c>
      <c r="AC96" s="15"/>
      <c r="AD96" s="15">
        <v>0.6730854462230251</v>
      </c>
      <c r="AE96" s="465">
        <f>Fruit!$D$12/Fruit!$B$12</f>
        <v>2.618722613156105</v>
      </c>
      <c r="AF96" s="483">
        <f>AE96*X96</f>
        <v>7.289496189507845</v>
      </c>
      <c r="AG96" s="208">
        <v>2.0208</v>
      </c>
      <c r="AH96"/>
    </row>
    <row r="97" spans="1:34" ht="12.75">
      <c r="A97" s="19" t="s">
        <v>712</v>
      </c>
      <c r="B97" s="208">
        <v>0.7131060901390649</v>
      </c>
      <c r="C97" s="208"/>
      <c r="D97" s="208">
        <v>19.999999999999996</v>
      </c>
      <c r="E97" s="208"/>
      <c r="F97" s="208">
        <v>0.5704848721112521</v>
      </c>
      <c r="G97" s="208"/>
      <c r="H97" s="208">
        <v>6</v>
      </c>
      <c r="I97" s="208"/>
      <c r="J97" s="208">
        <v>0.5362557797845768</v>
      </c>
      <c r="K97" s="208"/>
      <c r="L97" s="208">
        <v>0</v>
      </c>
      <c r="M97" s="208"/>
      <c r="N97" s="208">
        <v>35</v>
      </c>
      <c r="O97" s="208"/>
      <c r="P97" s="41">
        <f>0.01*51.12</f>
        <v>0.5112</v>
      </c>
      <c r="Q97" s="208"/>
      <c r="R97" s="208">
        <v>0.348566256859975</v>
      </c>
      <c r="S97" s="208"/>
      <c r="T97" s="208"/>
      <c r="U97" s="208"/>
      <c r="V97" s="208">
        <v>0.015279616739067397</v>
      </c>
      <c r="W97" s="208"/>
      <c r="X97" s="42">
        <v>0.43316949474419114</v>
      </c>
      <c r="Y97" s="15"/>
      <c r="Z97" s="15">
        <v>83</v>
      </c>
      <c r="AA97" s="15"/>
      <c r="AB97" s="473">
        <v>173</v>
      </c>
      <c r="AC97" s="15"/>
      <c r="AD97" s="42">
        <v>0.20782120268073911</v>
      </c>
      <c r="AE97" s="465">
        <f>Fruit!$D$12/Fruit!$B$12</f>
        <v>2.618722613156105</v>
      </c>
      <c r="AF97" s="483">
        <f t="shared" si="5"/>
        <v>1.1343507512160178</v>
      </c>
      <c r="AG97" s="1134">
        <f>AE97*AD97</f>
        <v>0.5442260829533496</v>
      </c>
      <c r="AH97" s="1134"/>
    </row>
    <row r="98" spans="1:34" ht="12.75">
      <c r="A98" s="14" t="s">
        <v>713</v>
      </c>
      <c r="B98" s="208">
        <v>0.24817624597340876</v>
      </c>
      <c r="C98" s="208"/>
      <c r="D98" s="208">
        <v>83.37489609310057</v>
      </c>
      <c r="E98" s="208"/>
      <c r="F98" s="208">
        <v>0.041259558765321516</v>
      </c>
      <c r="G98" s="208"/>
      <c r="H98" s="208">
        <v>6</v>
      </c>
      <c r="I98" s="208"/>
      <c r="J98" s="208">
        <v>0.03878398523940222</v>
      </c>
      <c r="K98" s="208"/>
      <c r="L98" s="208">
        <v>0</v>
      </c>
      <c r="M98" s="208"/>
      <c r="N98" s="208">
        <v>11</v>
      </c>
      <c r="O98" s="208"/>
      <c r="P98" s="41">
        <f>0.01*86.0914380714879</f>
        <v>0.860914380714879</v>
      </c>
      <c r="Q98" s="208"/>
      <c r="R98" s="208">
        <v>0.03451774686306798</v>
      </c>
      <c r="S98" s="208"/>
      <c r="T98" s="208"/>
      <c r="U98" s="208"/>
      <c r="V98" s="208">
        <v>0.0015131067118057198</v>
      </c>
      <c r="W98" s="208"/>
      <c r="X98" s="42">
        <v>0.04289581872633625</v>
      </c>
      <c r="Y98" s="15"/>
      <c r="Z98" s="15">
        <v>191</v>
      </c>
      <c r="AA98" s="15"/>
      <c r="AB98" s="473">
        <v>80</v>
      </c>
      <c r="AC98" s="15"/>
      <c r="AD98" s="42">
        <v>0.10241376720912779</v>
      </c>
      <c r="AE98" s="465">
        <f>Fruit!$D$12/Fruit!$B$12</f>
        <v>2.618722613156105</v>
      </c>
      <c r="AF98" s="483">
        <f t="shared" si="5"/>
        <v>0.11233225050850185</v>
      </c>
      <c r="AG98" s="208">
        <v>0.26289999999999997</v>
      </c>
      <c r="AH98"/>
    </row>
    <row r="99" spans="1:34" ht="12.75">
      <c r="A99" s="14" t="s">
        <v>714</v>
      </c>
      <c r="B99" s="208">
        <v>3.0931657582696688</v>
      </c>
      <c r="C99" s="208"/>
      <c r="D99" s="208">
        <v>5</v>
      </c>
      <c r="E99" s="208"/>
      <c r="F99" s="208">
        <v>2.938507470356185</v>
      </c>
      <c r="G99" s="208"/>
      <c r="H99" s="208">
        <v>17.578948639861824</v>
      </c>
      <c r="I99" s="208"/>
      <c r="J99" s="208">
        <v>2.4219487513637685</v>
      </c>
      <c r="K99" s="208"/>
      <c r="L99" s="208">
        <v>10</v>
      </c>
      <c r="M99" s="208"/>
      <c r="N99" s="208">
        <v>20</v>
      </c>
      <c r="O99" s="208"/>
      <c r="P99" s="41">
        <f>0.01*45.1900008455081</f>
        <v>0.45190000845508105</v>
      </c>
      <c r="Q99" s="208"/>
      <c r="R99" s="208">
        <v>1.695364125954638</v>
      </c>
      <c r="S99" s="208"/>
      <c r="T99" s="208"/>
      <c r="U99" s="208"/>
      <c r="V99" s="208">
        <v>0.07431733154869646</v>
      </c>
      <c r="W99" s="208"/>
      <c r="X99" s="15">
        <v>2.1068591907397702</v>
      </c>
      <c r="Y99" s="15"/>
      <c r="Z99" s="15">
        <v>92.3</v>
      </c>
      <c r="AA99" s="15"/>
      <c r="AB99" s="473">
        <v>159.7</v>
      </c>
      <c r="AC99" s="15"/>
      <c r="AD99" s="15">
        <v>1.217677541047469</v>
      </c>
      <c r="AE99" s="465">
        <f>Fruit!D13/Fruit!B13</f>
        <v>2.421209459760699</v>
      </c>
      <c r="AF99" s="483">
        <f t="shared" si="5"/>
        <v>5.101147403002902</v>
      </c>
      <c r="AG99" s="208">
        <v>2.907</v>
      </c>
      <c r="AH99"/>
    </row>
    <row r="100" spans="1:34" ht="12.75">
      <c r="A100" s="14" t="s">
        <v>715</v>
      </c>
      <c r="B100" s="208">
        <v>2.2661885671413966</v>
      </c>
      <c r="C100" s="208"/>
      <c r="D100" s="208">
        <v>0</v>
      </c>
      <c r="E100" s="208"/>
      <c r="F100" s="208">
        <v>2.2661885671413966</v>
      </c>
      <c r="G100" s="208"/>
      <c r="H100" s="208">
        <v>6</v>
      </c>
      <c r="I100" s="208"/>
      <c r="J100" s="208">
        <v>2.130217253112913</v>
      </c>
      <c r="K100" s="208"/>
      <c r="L100" s="208">
        <v>0</v>
      </c>
      <c r="M100" s="208"/>
      <c r="N100" s="208">
        <v>9</v>
      </c>
      <c r="O100" s="208"/>
      <c r="P100" s="41">
        <f>0.01*14.46</f>
        <v>0.1446</v>
      </c>
      <c r="Q100" s="208"/>
      <c r="R100" s="208">
        <v>1.9384977003327506</v>
      </c>
      <c r="S100" s="208"/>
      <c r="T100" s="208"/>
      <c r="U100" s="208"/>
      <c r="V100" s="208">
        <v>0.08497524165842195</v>
      </c>
      <c r="W100" s="208"/>
      <c r="X100" s="15">
        <v>2.409005613395433</v>
      </c>
      <c r="Y100" s="15"/>
      <c r="Z100" s="15">
        <v>71</v>
      </c>
      <c r="AA100" s="15"/>
      <c r="AB100" s="473">
        <v>244</v>
      </c>
      <c r="AC100" s="15"/>
      <c r="AD100" s="15">
        <v>0.7009811416027695</v>
      </c>
      <c r="AE100" s="465">
        <f>Fruit!D13/Fruit!B13</f>
        <v>2.421209459760699</v>
      </c>
      <c r="AF100" s="483">
        <f t="shared" si="5"/>
        <v>5.832707179769648</v>
      </c>
      <c r="AG100" s="208">
        <v>1.6906999999999999</v>
      </c>
      <c r="AH100"/>
    </row>
    <row r="101" spans="1:34" ht="12.75">
      <c r="A101" s="14" t="s">
        <v>716</v>
      </c>
      <c r="B101" s="272">
        <v>0.022378169931200894</v>
      </c>
      <c r="C101" s="208"/>
      <c r="D101" s="208">
        <v>84.15213946117274</v>
      </c>
      <c r="E101" s="208"/>
      <c r="F101" s="208">
        <v>0.0035464611618384947</v>
      </c>
      <c r="G101" s="208"/>
      <c r="H101" s="208">
        <v>6</v>
      </c>
      <c r="I101" s="208"/>
      <c r="J101" s="208">
        <v>0.0033336734921281855</v>
      </c>
      <c r="K101" s="208"/>
      <c r="L101" s="208">
        <v>0</v>
      </c>
      <c r="M101" s="208"/>
      <c r="N101" s="208">
        <v>11</v>
      </c>
      <c r="O101" s="208"/>
      <c r="P101" s="41">
        <f>0.01*86.7416798732171</f>
        <v>0.8674167987321709</v>
      </c>
      <c r="Q101" s="208"/>
      <c r="R101" s="208">
        <v>0.0029669694079940846</v>
      </c>
      <c r="S101" s="208"/>
      <c r="T101" s="208"/>
      <c r="U101" s="208"/>
      <c r="V101" s="208">
        <v>0.00013005893295316536</v>
      </c>
      <c r="W101" s="208"/>
      <c r="X101" s="42">
        <v>0.0036871057197557606</v>
      </c>
      <c r="Y101" s="42"/>
      <c r="Z101" s="42">
        <v>236</v>
      </c>
      <c r="AA101" s="42"/>
      <c r="AB101" s="464">
        <v>90</v>
      </c>
      <c r="AC101" s="42"/>
      <c r="AD101" s="42">
        <v>0.00966841055402622</v>
      </c>
      <c r="AE101" s="465">
        <f>Fruit!D13/Fruit!B13</f>
        <v>2.421209459760699</v>
      </c>
      <c r="AF101" s="483">
        <f t="shared" si="5"/>
        <v>0.008927255247810429</v>
      </c>
      <c r="AG101" s="208">
        <v>0.0262</v>
      </c>
      <c r="AH101"/>
    </row>
    <row r="102" spans="1:34" ht="12.75">
      <c r="A102" s="14" t="s">
        <v>718</v>
      </c>
      <c r="B102" s="208">
        <v>6.695425976810474</v>
      </c>
      <c r="C102" s="208"/>
      <c r="D102" s="208">
        <v>8</v>
      </c>
      <c r="E102" s="208"/>
      <c r="F102" s="208">
        <v>6.1597918986656355</v>
      </c>
      <c r="G102" s="208"/>
      <c r="H102" s="208">
        <v>9.75397963734622</v>
      </c>
      <c r="I102" s="208"/>
      <c r="J102" s="208">
        <v>5.558967051166887</v>
      </c>
      <c r="K102" s="208"/>
      <c r="L102" s="208">
        <v>6</v>
      </c>
      <c r="M102" s="208"/>
      <c r="N102" s="208">
        <v>35</v>
      </c>
      <c r="O102" s="208"/>
      <c r="P102" s="41">
        <f>0.01*51.0144601471515</f>
        <v>0.5101446014715151</v>
      </c>
      <c r="Q102" s="208"/>
      <c r="R102" s="208">
        <v>3.279790560188463</v>
      </c>
      <c r="S102" s="208"/>
      <c r="T102" s="208"/>
      <c r="U102" s="208"/>
      <c r="V102" s="208">
        <v>0.14377164099456277</v>
      </c>
      <c r="W102" s="208"/>
      <c r="X102" s="15">
        <v>4.075854136375357</v>
      </c>
      <c r="Y102" s="15"/>
      <c r="Z102" s="15">
        <v>50</v>
      </c>
      <c r="AA102" s="15"/>
      <c r="AB102" s="473">
        <v>151.5</v>
      </c>
      <c r="AC102" s="15"/>
      <c r="AD102" s="15">
        <v>1.345166381642032</v>
      </c>
      <c r="AE102" s="465">
        <f>Fruit!D14/Fruit!B14</f>
        <v>2.4083998573380834</v>
      </c>
      <c r="AF102" s="483">
        <f t="shared" si="5"/>
        <v>9.816286520577247</v>
      </c>
      <c r="AG102" s="208">
        <v>3.0976</v>
      </c>
      <c r="AH102"/>
    </row>
    <row r="103" spans="1:34" ht="12.75">
      <c r="A103" s="14" t="s">
        <v>717</v>
      </c>
      <c r="B103" s="208">
        <v>0.3848996842875686</v>
      </c>
      <c r="C103" s="208"/>
      <c r="D103" s="208">
        <v>-12.35955056179776</v>
      </c>
      <c r="E103" s="208"/>
      <c r="F103" s="208">
        <v>0.4324715553792907</v>
      </c>
      <c r="G103" s="208"/>
      <c r="H103" s="208">
        <v>6</v>
      </c>
      <c r="I103" s="208"/>
      <c r="J103" s="208">
        <v>0.4065232620565332</v>
      </c>
      <c r="K103" s="208"/>
      <c r="L103" s="208">
        <v>0</v>
      </c>
      <c r="M103" s="208"/>
      <c r="N103" s="208">
        <v>24</v>
      </c>
      <c r="O103" s="208"/>
      <c r="P103" s="41">
        <f>0.01*19.7303370786517</f>
        <v>0.19730337078651702</v>
      </c>
      <c r="Q103" s="208"/>
      <c r="R103" s="208">
        <v>0.30895767916296524</v>
      </c>
      <c r="S103" s="208"/>
      <c r="T103" s="208"/>
      <c r="U103" s="208"/>
      <c r="V103" s="208">
        <v>0.013543350319472448</v>
      </c>
      <c r="W103" s="208"/>
      <c r="X103" s="42">
        <v>0.3839472098818842</v>
      </c>
      <c r="Y103" s="15"/>
      <c r="Z103" s="15">
        <v>52</v>
      </c>
      <c r="AA103" s="15"/>
      <c r="AB103" s="473">
        <v>149</v>
      </c>
      <c r="AC103" s="15"/>
      <c r="AD103" s="42">
        <v>0.1339949994218656</v>
      </c>
      <c r="AE103" s="465">
        <f>Fruit!D14/Fruit!B14</f>
        <v>2.4083998573380834</v>
      </c>
      <c r="AF103" s="483">
        <f t="shared" si="5"/>
        <v>0.924698405504885</v>
      </c>
      <c r="AG103" s="208">
        <v>0.3185</v>
      </c>
      <c r="AH103"/>
    </row>
    <row r="104" spans="1:34" ht="12.75">
      <c r="A104" s="14" t="s">
        <v>107</v>
      </c>
      <c r="B104" s="208">
        <v>15.110790557086522</v>
      </c>
      <c r="C104" s="208"/>
      <c r="D104" s="208">
        <v>10</v>
      </c>
      <c r="E104" s="208"/>
      <c r="F104" s="208">
        <v>13.599711501377874</v>
      </c>
      <c r="G104" s="208"/>
      <c r="H104" s="208">
        <v>16.777334931261265</v>
      </c>
      <c r="I104" s="208"/>
      <c r="J104" s="208">
        <v>11.318042353106446</v>
      </c>
      <c r="K104" s="208"/>
      <c r="L104" s="208">
        <v>48</v>
      </c>
      <c r="M104" s="208"/>
      <c r="N104" s="208">
        <v>13</v>
      </c>
      <c r="O104" s="208"/>
      <c r="P104" s="41">
        <f>0.01*70.7888445608727</f>
        <v>0.7078884456087271</v>
      </c>
      <c r="Q104" s="208"/>
      <c r="R104" s="208">
        <v>4.414036517711514</v>
      </c>
      <c r="S104" s="208"/>
      <c r="T104" s="208"/>
      <c r="U104" s="208"/>
      <c r="V104" s="208">
        <v>0.19349201173529926</v>
      </c>
      <c r="W104" s="208"/>
      <c r="X104" s="15">
        <v>5.485401786689866</v>
      </c>
      <c r="Y104" s="15"/>
      <c r="Z104" s="15">
        <v>45.3</v>
      </c>
      <c r="AA104" s="15"/>
      <c r="AB104" s="473">
        <v>150.8</v>
      </c>
      <c r="AC104" s="15"/>
      <c r="AD104" s="15">
        <v>1.6478030566117432</v>
      </c>
      <c r="AE104" s="465">
        <f>Fruit!D15/Fruit!B15</f>
        <v>2.3367476984279305</v>
      </c>
      <c r="AF104" s="483">
        <f t="shared" si="5"/>
        <v>12.818000000000001</v>
      </c>
      <c r="AG104" s="208">
        <v>3.846</v>
      </c>
      <c r="AH104" s="46"/>
    </row>
    <row r="105" spans="1:34" ht="12.75">
      <c r="A105" s="233" t="s">
        <v>719</v>
      </c>
      <c r="B105" s="272">
        <v>0.8919685861901602</v>
      </c>
      <c r="C105" s="208"/>
      <c r="D105" s="208">
        <v>5</v>
      </c>
      <c r="E105" s="208"/>
      <c r="F105" s="208">
        <v>0.8473701568806522</v>
      </c>
      <c r="G105" s="208"/>
      <c r="H105" s="208">
        <v>17.316554490124737</v>
      </c>
      <c r="I105" s="208"/>
      <c r="J105" s="208">
        <v>0.7006348419313587</v>
      </c>
      <c r="K105" s="208"/>
      <c r="L105" s="208">
        <v>6</v>
      </c>
      <c r="M105" s="208"/>
      <c r="N105" s="208">
        <v>27</v>
      </c>
      <c r="O105" s="208"/>
      <c r="P105" s="41">
        <f>0.01*47.3719869329644</f>
        <v>0.473719869329644</v>
      </c>
      <c r="Q105" s="208"/>
      <c r="R105" s="208">
        <v>0.4694253440940104</v>
      </c>
      <c r="S105" s="208"/>
      <c r="T105" s="208"/>
      <c r="U105" s="208"/>
      <c r="V105" s="208">
        <v>0.020577549330148402</v>
      </c>
      <c r="W105" s="208"/>
      <c r="X105" s="15">
        <v>0.583363234735042</v>
      </c>
      <c r="Y105" s="15"/>
      <c r="Z105" s="15">
        <v>76</v>
      </c>
      <c r="AA105" s="15"/>
      <c r="AB105" s="473">
        <v>165</v>
      </c>
      <c r="AC105" s="15"/>
      <c r="AD105" s="42">
        <v>0.26870064145371636</v>
      </c>
      <c r="AE105" s="472" t="s">
        <v>88</v>
      </c>
      <c r="AF105" s="478" t="s">
        <v>88</v>
      </c>
      <c r="AG105" s="498" t="s">
        <v>88</v>
      </c>
      <c r="AH105" s="498"/>
    </row>
    <row r="106" spans="1:34" ht="12.75">
      <c r="A106" s="233" t="s">
        <v>720</v>
      </c>
      <c r="B106" s="208">
        <v>0.01897373213252912</v>
      </c>
      <c r="C106" s="208"/>
      <c r="D106" s="208">
        <v>33.774834437086085</v>
      </c>
      <c r="E106" s="208"/>
      <c r="F106" s="208">
        <v>0.012565385518231203</v>
      </c>
      <c r="G106" s="208"/>
      <c r="H106" s="208">
        <v>6</v>
      </c>
      <c r="I106" s="208"/>
      <c r="J106" s="208">
        <v>0.011811462387137333</v>
      </c>
      <c r="K106" s="208"/>
      <c r="L106" s="208">
        <v>0</v>
      </c>
      <c r="M106" s="208"/>
      <c r="N106" s="208">
        <v>26</v>
      </c>
      <c r="O106" s="208"/>
      <c r="P106" s="41">
        <f>0.01*53.9337748344371</f>
        <v>0.539337748344371</v>
      </c>
      <c r="Q106" s="208"/>
      <c r="R106" s="208">
        <v>0.008740482166481628</v>
      </c>
      <c r="S106" s="208"/>
      <c r="T106" s="208"/>
      <c r="U106" s="208"/>
      <c r="V106" s="208">
        <v>0.00038314442373618083</v>
      </c>
      <c r="W106" s="208"/>
      <c r="X106" s="42">
        <v>0.010861952840708858</v>
      </c>
      <c r="Y106" s="15"/>
      <c r="Z106" s="15">
        <v>102</v>
      </c>
      <c r="AA106" s="15"/>
      <c r="AB106" s="473">
        <v>249</v>
      </c>
      <c r="AC106" s="15"/>
      <c r="AD106" s="42">
        <v>0.004449474657639773</v>
      </c>
      <c r="AE106" s="472" t="s">
        <v>88</v>
      </c>
      <c r="AF106" s="478" t="s">
        <v>88</v>
      </c>
      <c r="AG106" s="498" t="s">
        <v>88</v>
      </c>
      <c r="AH106" s="498"/>
    </row>
    <row r="107" spans="1:34" ht="12.75">
      <c r="A107" s="233" t="s">
        <v>721</v>
      </c>
      <c r="B107" s="208">
        <v>0.006749617064153645</v>
      </c>
      <c r="C107" s="208"/>
      <c r="D107" s="208">
        <v>15.254237288135588</v>
      </c>
      <c r="E107" s="208"/>
      <c r="F107" s="208">
        <v>0.0057200144611471585</v>
      </c>
      <c r="G107" s="208"/>
      <c r="H107" s="208">
        <v>6</v>
      </c>
      <c r="I107" s="208"/>
      <c r="J107" s="208">
        <v>0.005376813593478329</v>
      </c>
      <c r="K107" s="208"/>
      <c r="L107" s="208">
        <v>0</v>
      </c>
      <c r="M107" s="208"/>
      <c r="N107" s="208">
        <v>10</v>
      </c>
      <c r="O107" s="208"/>
      <c r="P107" s="41">
        <f>0.01*28.3050847457627</f>
        <v>0.283050847457627</v>
      </c>
      <c r="Q107" s="208"/>
      <c r="R107" s="208">
        <v>0.004839132234130496</v>
      </c>
      <c r="S107" s="208"/>
      <c r="T107" s="208"/>
      <c r="U107" s="208"/>
      <c r="V107" s="208">
        <v>0.00021212634450983</v>
      </c>
      <c r="W107" s="208"/>
      <c r="X107" s="42">
        <v>0.006013675803681424</v>
      </c>
      <c r="Y107" s="15"/>
      <c r="Z107" s="15">
        <v>83</v>
      </c>
      <c r="AA107" s="15"/>
      <c r="AB107" s="473">
        <v>173</v>
      </c>
      <c r="AC107" s="15"/>
      <c r="AD107" s="42">
        <v>0.002885173940494556</v>
      </c>
      <c r="AE107" s="472" t="s">
        <v>88</v>
      </c>
      <c r="AF107" s="478" t="s">
        <v>88</v>
      </c>
      <c r="AG107" s="498" t="s">
        <v>88</v>
      </c>
      <c r="AH107" s="498"/>
    </row>
    <row r="108" spans="1:34" ht="12.75">
      <c r="A108" s="233" t="s">
        <v>722</v>
      </c>
      <c r="B108" s="208">
        <v>0.798881255362385</v>
      </c>
      <c r="C108" s="208"/>
      <c r="D108" s="208">
        <v>61.53846153846153</v>
      </c>
      <c r="E108" s="208"/>
      <c r="F108" s="208">
        <v>0.307262021293225</v>
      </c>
      <c r="G108" s="208"/>
      <c r="H108" s="208">
        <v>6</v>
      </c>
      <c r="I108" s="208"/>
      <c r="J108" s="208">
        <v>0.28882630001563153</v>
      </c>
      <c r="K108" s="208"/>
      <c r="L108" s="208">
        <v>0</v>
      </c>
      <c r="M108" s="208"/>
      <c r="N108" s="208">
        <v>11</v>
      </c>
      <c r="O108" s="208"/>
      <c r="P108" s="41">
        <f>0.01*67.8230769230769</f>
        <v>0.678230769230769</v>
      </c>
      <c r="Q108" s="208"/>
      <c r="R108" s="208">
        <v>0.25705540701391205</v>
      </c>
      <c r="S108" s="208"/>
      <c r="T108" s="208"/>
      <c r="U108" s="208"/>
      <c r="V108" s="208">
        <v>0.011268182225267376</v>
      </c>
      <c r="W108" s="208"/>
      <c r="X108" s="42">
        <v>0.31944733199521747</v>
      </c>
      <c r="Y108" s="15"/>
      <c r="Z108" s="15">
        <v>209</v>
      </c>
      <c r="AA108" s="15"/>
      <c r="AB108" s="473">
        <v>87</v>
      </c>
      <c r="AC108" s="15"/>
      <c r="AD108" s="15">
        <v>0.7674079584712696</v>
      </c>
      <c r="AE108" s="472" t="s">
        <v>88</v>
      </c>
      <c r="AF108" s="478" t="s">
        <v>88</v>
      </c>
      <c r="AG108" s="498" t="s">
        <v>88</v>
      </c>
      <c r="AH108" s="498"/>
    </row>
    <row r="109" spans="1:34" ht="12.75">
      <c r="A109" s="233" t="s">
        <v>723</v>
      </c>
      <c r="B109" s="272">
        <v>0.4611342914561038</v>
      </c>
      <c r="C109" s="208"/>
      <c r="D109" s="208">
        <v>27.69230769230769</v>
      </c>
      <c r="E109" s="208"/>
      <c r="F109" s="208">
        <v>0.3334355645913366</v>
      </c>
      <c r="G109" s="208"/>
      <c r="H109" s="208">
        <v>6</v>
      </c>
      <c r="I109" s="208"/>
      <c r="J109" s="208">
        <v>0.3134294307158564</v>
      </c>
      <c r="K109" s="208"/>
      <c r="L109" s="208">
        <v>0</v>
      </c>
      <c r="M109" s="208"/>
      <c r="N109" s="208">
        <v>32</v>
      </c>
      <c r="O109" s="208"/>
      <c r="P109" s="41">
        <f>0.01*53.7809230769231</f>
        <v>0.537809230769231</v>
      </c>
      <c r="Q109" s="208"/>
      <c r="R109" s="208">
        <v>0.21313201288678235</v>
      </c>
      <c r="S109" s="208"/>
      <c r="T109" s="208">
        <v>0.02267361839221089</v>
      </c>
      <c r="U109" s="208"/>
      <c r="V109" s="208">
        <v>0.009342773167639774</v>
      </c>
      <c r="W109" s="208"/>
      <c r="X109" s="42">
        <v>0.26486294791600373</v>
      </c>
      <c r="Y109" s="15"/>
      <c r="Z109" s="15">
        <v>182</v>
      </c>
      <c r="AA109" s="15"/>
      <c r="AB109" s="473">
        <v>256</v>
      </c>
      <c r="AC109" s="15"/>
      <c r="AD109" s="42">
        <v>0.18830100203403394</v>
      </c>
      <c r="AE109" s="472" t="s">
        <v>88</v>
      </c>
      <c r="AF109" s="478" t="s">
        <v>88</v>
      </c>
      <c r="AG109" s="498" t="s">
        <v>88</v>
      </c>
      <c r="AH109" s="498"/>
    </row>
    <row r="110" spans="1:34" ht="12.75">
      <c r="A110" s="233" t="s">
        <v>724</v>
      </c>
      <c r="B110" s="272">
        <v>0.12589850217026527</v>
      </c>
      <c r="C110" s="208"/>
      <c r="D110" s="208">
        <v>9</v>
      </c>
      <c r="E110" s="208"/>
      <c r="F110" s="208">
        <v>0.1145676369749414</v>
      </c>
      <c r="G110" s="208"/>
      <c r="H110" s="208">
        <v>35.05755274152872</v>
      </c>
      <c r="I110" s="208"/>
      <c r="J110" s="208">
        <v>0.07440302721772815</v>
      </c>
      <c r="K110" s="208"/>
      <c r="L110" s="208">
        <v>7</v>
      </c>
      <c r="M110" s="208"/>
      <c r="N110" s="208">
        <v>10</v>
      </c>
      <c r="O110" s="208"/>
      <c r="P110" s="41">
        <f>0.01*50.9489695856766</f>
        <v>0.5094896958567661</v>
      </c>
      <c r="Q110" s="208"/>
      <c r="R110" s="208">
        <v>0.061754512590714385</v>
      </c>
      <c r="S110" s="208"/>
      <c r="T110" s="208"/>
      <c r="U110" s="208"/>
      <c r="V110" s="208">
        <v>0.002707047127264192</v>
      </c>
      <c r="W110" s="208"/>
      <c r="X110" s="42">
        <v>0.07674343253437621</v>
      </c>
      <c r="Y110" s="15"/>
      <c r="Z110" s="15">
        <v>706.5</v>
      </c>
      <c r="AA110" s="15"/>
      <c r="AB110" s="473">
        <v>160</v>
      </c>
      <c r="AC110" s="15"/>
      <c r="AD110" s="42">
        <v>0.338870219284605</v>
      </c>
      <c r="AE110" s="472" t="s">
        <v>88</v>
      </c>
      <c r="AF110" s="478" t="s">
        <v>88</v>
      </c>
      <c r="AG110" s="498" t="s">
        <v>88</v>
      </c>
      <c r="AH110" s="498"/>
    </row>
    <row r="111" spans="1:34" ht="12.75">
      <c r="A111" s="233" t="s">
        <v>725</v>
      </c>
      <c r="B111" s="208">
        <v>0.6232823420147374</v>
      </c>
      <c r="C111" s="208"/>
      <c r="D111" s="208">
        <v>82.01438848920863</v>
      </c>
      <c r="E111" s="208"/>
      <c r="F111" s="208">
        <v>0.1121011406501327</v>
      </c>
      <c r="G111" s="208"/>
      <c r="H111" s="208">
        <v>6</v>
      </c>
      <c r="I111" s="208"/>
      <c r="J111" s="208">
        <v>0.10537507221112474</v>
      </c>
      <c r="K111" s="208"/>
      <c r="L111" s="208">
        <v>0</v>
      </c>
      <c r="M111" s="208"/>
      <c r="N111" s="208">
        <v>11</v>
      </c>
      <c r="O111" s="208"/>
      <c r="P111" s="41">
        <f>0.01*84.9532374100719</f>
        <v>0.8495323741007191</v>
      </c>
      <c r="Q111" s="208"/>
      <c r="R111" s="208">
        <v>0.09378381426790101</v>
      </c>
      <c r="S111" s="208"/>
      <c r="T111" s="208"/>
      <c r="U111" s="208"/>
      <c r="V111" s="208">
        <v>0.004111071310373743</v>
      </c>
      <c r="W111" s="208"/>
      <c r="X111" s="42">
        <v>0.11654681611344042</v>
      </c>
      <c r="Y111" s="15"/>
      <c r="Z111" s="15">
        <v>157</v>
      </c>
      <c r="AA111" s="15"/>
      <c r="AB111" s="473">
        <v>65</v>
      </c>
      <c r="AC111" s="15"/>
      <c r="AD111" s="42">
        <v>0.2815053866124638</v>
      </c>
      <c r="AE111" s="472" t="s">
        <v>88</v>
      </c>
      <c r="AF111" s="478" t="s">
        <v>88</v>
      </c>
      <c r="AG111" s="498" t="s">
        <v>88</v>
      </c>
      <c r="AH111" s="498"/>
    </row>
    <row r="112" spans="1:34" ht="12.75">
      <c r="A112" s="233" t="s">
        <v>726</v>
      </c>
      <c r="B112" s="208">
        <v>0.1321211701136433</v>
      </c>
      <c r="C112" s="208"/>
      <c r="D112" s="208">
        <v>30.555555555555554</v>
      </c>
      <c r="E112" s="208"/>
      <c r="F112" s="208">
        <v>0.09175081257891896</v>
      </c>
      <c r="G112" s="208"/>
      <c r="H112" s="208">
        <v>6</v>
      </c>
      <c r="I112" s="208"/>
      <c r="J112" s="208">
        <v>0.08624576382418381</v>
      </c>
      <c r="K112" s="208"/>
      <c r="L112" s="208">
        <v>0</v>
      </c>
      <c r="M112" s="208"/>
      <c r="N112" s="208">
        <v>27</v>
      </c>
      <c r="O112" s="208"/>
      <c r="P112" s="41">
        <f>0.01*52.3472222222222</f>
        <v>0.523472222222222</v>
      </c>
      <c r="Q112" s="208"/>
      <c r="R112" s="208">
        <v>0.06295940759165417</v>
      </c>
      <c r="S112" s="208"/>
      <c r="T112" s="208"/>
      <c r="U112" s="208"/>
      <c r="V112" s="208">
        <v>0.002759864442373882</v>
      </c>
      <c r="W112" s="208"/>
      <c r="X112" s="42">
        <v>0.07824077700907836</v>
      </c>
      <c r="Y112" s="15"/>
      <c r="Z112" s="15">
        <v>50</v>
      </c>
      <c r="AA112" s="15"/>
      <c r="AB112" s="473">
        <v>227</v>
      </c>
      <c r="AC112" s="15"/>
      <c r="AD112" s="42">
        <v>0.017233651323585543</v>
      </c>
      <c r="AE112" s="472" t="s">
        <v>88</v>
      </c>
      <c r="AF112" s="478" t="s">
        <v>88</v>
      </c>
      <c r="AG112" s="498" t="s">
        <v>88</v>
      </c>
      <c r="AH112" s="498"/>
    </row>
    <row r="113" spans="1:34" ht="12.75">
      <c r="A113" s="233" t="s">
        <v>727</v>
      </c>
      <c r="B113" s="208">
        <v>0.7633288038034733</v>
      </c>
      <c r="C113" s="208"/>
      <c r="D113" s="208">
        <v>9.090909090909093</v>
      </c>
      <c r="E113" s="208"/>
      <c r="F113" s="208">
        <v>0.6939352761849756</v>
      </c>
      <c r="G113" s="208"/>
      <c r="H113" s="208">
        <v>6</v>
      </c>
      <c r="I113" s="208"/>
      <c r="J113" s="208">
        <v>0.6522991596138771</v>
      </c>
      <c r="K113" s="208"/>
      <c r="L113" s="208">
        <v>0</v>
      </c>
      <c r="M113" s="208"/>
      <c r="N113" s="208">
        <v>35</v>
      </c>
      <c r="O113" s="208"/>
      <c r="P113" s="41">
        <f>0.01*44.4545454545455</f>
        <v>0.444545454545455</v>
      </c>
      <c r="Q113" s="208"/>
      <c r="R113" s="208">
        <v>0.4239944537490201</v>
      </c>
      <c r="S113" s="208"/>
      <c r="T113" s="208"/>
      <c r="U113" s="208"/>
      <c r="V113" s="208">
        <v>0.018586058246532387</v>
      </c>
      <c r="W113" s="208"/>
      <c r="X113" s="15">
        <v>0.5269054582600698</v>
      </c>
      <c r="Y113" s="15"/>
      <c r="Z113" s="15">
        <v>83</v>
      </c>
      <c r="AA113" s="15"/>
      <c r="AB113" s="473">
        <v>173</v>
      </c>
      <c r="AC113" s="15"/>
      <c r="AD113" s="42">
        <v>0.25279279211321276</v>
      </c>
      <c r="AE113" s="472" t="s">
        <v>88</v>
      </c>
      <c r="AF113" s="478" t="s">
        <v>88</v>
      </c>
      <c r="AG113" s="498" t="s">
        <v>88</v>
      </c>
      <c r="AH113" s="498"/>
    </row>
    <row r="114" spans="1:34" ht="12.75">
      <c r="A114" s="233" t="s">
        <v>454</v>
      </c>
      <c r="B114" s="208">
        <v>0.0909637550580846</v>
      </c>
      <c r="C114" s="208"/>
      <c r="D114" s="208">
        <v>0</v>
      </c>
      <c r="E114" s="208"/>
      <c r="F114" s="208">
        <v>0.0909637550580846</v>
      </c>
      <c r="G114" s="208"/>
      <c r="H114" s="208">
        <v>6</v>
      </c>
      <c r="I114" s="208"/>
      <c r="J114" s="208">
        <v>0.08550592975459952</v>
      </c>
      <c r="K114" s="208"/>
      <c r="L114" s="208">
        <v>0</v>
      </c>
      <c r="M114" s="208"/>
      <c r="N114" s="208">
        <v>40</v>
      </c>
      <c r="O114" s="208"/>
      <c r="P114" s="41">
        <f>0.01*43.6</f>
        <v>0.436</v>
      </c>
      <c r="Q114" s="208"/>
      <c r="R114" s="208">
        <v>0.05130355785275971</v>
      </c>
      <c r="S114" s="208"/>
      <c r="T114" s="208"/>
      <c r="U114" s="208"/>
      <c r="V114" s="208">
        <v>0.0022489230839565903</v>
      </c>
      <c r="W114" s="208"/>
      <c r="X114" s="15">
        <v>0.06375584496862734</v>
      </c>
      <c r="Y114" s="15"/>
      <c r="Z114" s="15">
        <v>97</v>
      </c>
      <c r="AA114" s="15"/>
      <c r="AB114" s="473">
        <v>151</v>
      </c>
      <c r="AC114" s="15"/>
      <c r="AD114" s="42">
        <v>0.04095574146991293</v>
      </c>
      <c r="AE114" s="472" t="s">
        <v>88</v>
      </c>
      <c r="AF114" s="478" t="s">
        <v>88</v>
      </c>
      <c r="AG114" s="498" t="s">
        <v>88</v>
      </c>
      <c r="AH114" s="498"/>
    </row>
    <row r="115" spans="1:34" ht="12.75">
      <c r="A115" s="233" t="s">
        <v>455</v>
      </c>
      <c r="B115" s="208">
        <v>9.072462757556593</v>
      </c>
      <c r="C115" s="208"/>
      <c r="D115" s="208">
        <v>8</v>
      </c>
      <c r="E115" s="208"/>
      <c r="F115" s="208">
        <v>8.346665736952065</v>
      </c>
      <c r="G115" s="208"/>
      <c r="H115" s="208">
        <v>12.198975570771644</v>
      </c>
      <c r="I115" s="208"/>
      <c r="J115" s="208">
        <v>7.3284580227273155</v>
      </c>
      <c r="K115" s="208"/>
      <c r="L115" s="208">
        <v>49</v>
      </c>
      <c r="M115" s="208"/>
      <c r="N115" s="208">
        <v>43</v>
      </c>
      <c r="O115" s="208"/>
      <c r="P115" s="41">
        <f>0.01*93.5378446020088</f>
        <v>0.935378446020088</v>
      </c>
      <c r="Q115" s="208"/>
      <c r="R115" s="208">
        <v>0.5862766418181853</v>
      </c>
      <c r="S115" s="208"/>
      <c r="T115" s="208"/>
      <c r="U115" s="208"/>
      <c r="V115" s="208">
        <v>0.025699797997509495</v>
      </c>
      <c r="W115" s="208"/>
      <c r="X115" s="15">
        <v>0.7285764233303953</v>
      </c>
      <c r="Y115" s="15"/>
      <c r="Z115" s="15">
        <v>53.3</v>
      </c>
      <c r="AA115" s="15"/>
      <c r="AB115" s="473">
        <v>157</v>
      </c>
      <c r="AC115" s="15"/>
      <c r="AD115" s="42">
        <v>0.24734473479942717</v>
      </c>
      <c r="AE115" s="472" t="s">
        <v>88</v>
      </c>
      <c r="AF115" s="478" t="s">
        <v>88</v>
      </c>
      <c r="AG115" s="498" t="s">
        <v>88</v>
      </c>
      <c r="AH115" s="498"/>
    </row>
    <row r="116" spans="1:34" ht="12.75">
      <c r="A116" s="233" t="s">
        <v>728</v>
      </c>
      <c r="B116" s="208">
        <v>1.2353887991317893</v>
      </c>
      <c r="C116" s="208"/>
      <c r="D116" s="208">
        <v>8</v>
      </c>
      <c r="E116" s="208"/>
      <c r="F116" s="208">
        <v>1.1365576952012464</v>
      </c>
      <c r="G116" s="208"/>
      <c r="H116" s="208">
        <v>3.8721252909784467</v>
      </c>
      <c r="I116" s="208"/>
      <c r="J116" s="208">
        <v>1.092548757238797</v>
      </c>
      <c r="K116" s="208"/>
      <c r="L116" s="208">
        <v>9</v>
      </c>
      <c r="M116" s="208"/>
      <c r="N116" s="208">
        <v>51</v>
      </c>
      <c r="O116" s="208"/>
      <c r="P116" s="41">
        <f>0.01*64.6249421070801</f>
        <v>0.6462494210708011</v>
      </c>
      <c r="Q116" s="208"/>
      <c r="R116" s="208">
        <v>0.43701950289551883</v>
      </c>
      <c r="S116" s="208"/>
      <c r="T116" s="208"/>
      <c r="U116" s="208"/>
      <c r="V116" s="208">
        <v>0.019157019305009047</v>
      </c>
      <c r="W116" s="208"/>
      <c r="X116" s="15">
        <v>0.543091918787354</v>
      </c>
      <c r="Y116" s="15"/>
      <c r="Z116" s="15">
        <v>85</v>
      </c>
      <c r="AA116" s="15"/>
      <c r="AB116" s="473">
        <v>154.4</v>
      </c>
      <c r="AC116" s="15"/>
      <c r="AD116" s="42">
        <v>0.2989819501096184</v>
      </c>
      <c r="AE116" s="472" t="s">
        <v>88</v>
      </c>
      <c r="AF116" s="478" t="s">
        <v>88</v>
      </c>
      <c r="AG116" s="498" t="s">
        <v>88</v>
      </c>
      <c r="AH116" s="498"/>
    </row>
    <row r="117" spans="1:34" ht="12.75">
      <c r="A117" s="233" t="s">
        <v>729</v>
      </c>
      <c r="B117" s="208">
        <v>0.01503444443693835</v>
      </c>
      <c r="C117" s="208"/>
      <c r="D117" s="208">
        <v>16.317991631799167</v>
      </c>
      <c r="E117" s="208"/>
      <c r="F117" s="208">
        <v>0.012581125051831255</v>
      </c>
      <c r="G117" s="208"/>
      <c r="H117" s="208">
        <v>6</v>
      </c>
      <c r="I117" s="208"/>
      <c r="J117" s="208">
        <v>0.011826257548721379</v>
      </c>
      <c r="K117" s="208"/>
      <c r="L117" s="208">
        <v>0</v>
      </c>
      <c r="M117" s="208"/>
      <c r="N117" s="208">
        <v>32</v>
      </c>
      <c r="O117" s="208"/>
      <c r="P117" s="41">
        <f>0.01*46.510460251046</f>
        <v>0.46510460251046</v>
      </c>
      <c r="Q117" s="208"/>
      <c r="R117" s="208">
        <v>0.008041855133130538</v>
      </c>
      <c r="S117" s="208"/>
      <c r="T117" s="208"/>
      <c r="U117" s="208"/>
      <c r="V117" s="208">
        <v>0.0003525196770687359</v>
      </c>
      <c r="W117" s="208"/>
      <c r="X117" s="42">
        <v>0.009993756585060127</v>
      </c>
      <c r="Y117" s="42"/>
      <c r="Z117" s="42">
        <v>101</v>
      </c>
      <c r="AA117" s="42"/>
      <c r="AB117" s="464">
        <v>246</v>
      </c>
      <c r="AC117" s="42"/>
      <c r="AD117" s="42">
        <v>0.004103127703622247</v>
      </c>
      <c r="AE117" s="472" t="s">
        <v>88</v>
      </c>
      <c r="AF117" s="478" t="s">
        <v>88</v>
      </c>
      <c r="AG117" s="498" t="s">
        <v>88</v>
      </c>
      <c r="AH117" s="498"/>
    </row>
    <row r="118" spans="1:34" ht="12.75">
      <c r="A118" s="233" t="s">
        <v>730</v>
      </c>
      <c r="B118" s="208">
        <v>0.11853450657624862</v>
      </c>
      <c r="C118" s="208"/>
      <c r="D118" s="208">
        <v>4.999999999999993</v>
      </c>
      <c r="E118" s="208"/>
      <c r="F118" s="208">
        <v>0.1126077812474362</v>
      </c>
      <c r="G118" s="208"/>
      <c r="H118" s="208">
        <v>6</v>
      </c>
      <c r="I118" s="208"/>
      <c r="J118" s="208">
        <v>0.10585131437259003</v>
      </c>
      <c r="K118" s="208"/>
      <c r="L118" s="208">
        <v>0</v>
      </c>
      <c r="M118" s="208"/>
      <c r="N118" s="208">
        <v>32</v>
      </c>
      <c r="O118" s="208"/>
      <c r="P118" s="41">
        <f>0.01*39.276</f>
        <v>0.39276000000000005</v>
      </c>
      <c r="Q118" s="208"/>
      <c r="R118" s="208">
        <v>0.07197889377336122</v>
      </c>
      <c r="S118" s="208"/>
      <c r="T118" s="208"/>
      <c r="U118" s="208"/>
      <c r="V118" s="208">
        <v>0.0031552391791062452</v>
      </c>
      <c r="W118" s="208"/>
      <c r="X118" s="42">
        <v>0.08944945310807251</v>
      </c>
      <c r="Y118" s="42"/>
      <c r="Z118" s="42">
        <v>101</v>
      </c>
      <c r="AA118" s="42"/>
      <c r="AB118" s="464">
        <v>246</v>
      </c>
      <c r="AC118" s="42"/>
      <c r="AD118" s="42">
        <v>0.03672518196713546</v>
      </c>
      <c r="AE118" s="472" t="s">
        <v>88</v>
      </c>
      <c r="AF118" s="478" t="s">
        <v>88</v>
      </c>
      <c r="AG118" s="498" t="s">
        <v>88</v>
      </c>
      <c r="AH118" s="498"/>
    </row>
    <row r="119" spans="1:34" ht="12.75">
      <c r="A119" s="233" t="s">
        <v>731</v>
      </c>
      <c r="B119" s="208">
        <v>0.2115060595952162</v>
      </c>
      <c r="C119" s="208"/>
      <c r="D119" s="208">
        <v>15.254237288135588</v>
      </c>
      <c r="E119" s="208"/>
      <c r="F119" s="208">
        <v>0.17924242338577642</v>
      </c>
      <c r="G119" s="208"/>
      <c r="H119" s="208">
        <v>6</v>
      </c>
      <c r="I119" s="208"/>
      <c r="J119" s="208">
        <v>0.16848787798262985</v>
      </c>
      <c r="K119" s="208"/>
      <c r="L119" s="208">
        <v>0</v>
      </c>
      <c r="M119" s="208"/>
      <c r="N119" s="208">
        <v>29</v>
      </c>
      <c r="O119" s="208"/>
      <c r="P119" s="41">
        <f>0.01*43.4406779661017</f>
        <v>0.43440677966101704</v>
      </c>
      <c r="Q119" s="208"/>
      <c r="R119" s="208">
        <v>0.1196263933676672</v>
      </c>
      <c r="S119" s="208"/>
      <c r="T119" s="208"/>
      <c r="U119" s="208"/>
      <c r="V119" s="208">
        <v>0.005243896695568974</v>
      </c>
      <c r="W119" s="208"/>
      <c r="X119" s="42">
        <v>0.1486618493710326</v>
      </c>
      <c r="Y119" s="42"/>
      <c r="Z119" s="42">
        <v>71</v>
      </c>
      <c r="AA119" s="42"/>
      <c r="AB119" s="464">
        <v>155</v>
      </c>
      <c r="AC119" s="42"/>
      <c r="AD119" s="42">
        <v>0.06809671809898912</v>
      </c>
      <c r="AE119" s="472" t="s">
        <v>88</v>
      </c>
      <c r="AF119" s="478" t="s">
        <v>88</v>
      </c>
      <c r="AG119" s="498" t="s">
        <v>88</v>
      </c>
      <c r="AH119" s="498"/>
    </row>
    <row r="120" spans="1:34" ht="12.75">
      <c r="A120" s="233" t="s">
        <v>732</v>
      </c>
      <c r="B120" s="208">
        <v>0.5518227442082572</v>
      </c>
      <c r="C120" s="208"/>
      <c r="D120" s="208">
        <v>9.90990990990992</v>
      </c>
      <c r="E120" s="208"/>
      <c r="F120" s="208">
        <v>0.4971376073948262</v>
      </c>
      <c r="G120" s="208"/>
      <c r="H120" s="208">
        <v>6</v>
      </c>
      <c r="I120" s="208"/>
      <c r="J120" s="208">
        <v>0.4673093509511366</v>
      </c>
      <c r="K120" s="208"/>
      <c r="L120" s="208">
        <v>0</v>
      </c>
      <c r="M120" s="208"/>
      <c r="N120" s="208">
        <v>29</v>
      </c>
      <c r="O120" s="208"/>
      <c r="P120" s="41">
        <f>0.01*39.8738738738739</f>
        <v>0.398738738738739</v>
      </c>
      <c r="Q120" s="208"/>
      <c r="R120" s="208">
        <v>0.33178963917530696</v>
      </c>
      <c r="S120" s="208"/>
      <c r="T120" s="208"/>
      <c r="U120" s="208"/>
      <c r="V120" s="208">
        <v>0.014544203361109348</v>
      </c>
      <c r="W120" s="208"/>
      <c r="X120" s="42">
        <v>0.4123208931857694</v>
      </c>
      <c r="Y120" s="42"/>
      <c r="Z120" s="42">
        <v>71</v>
      </c>
      <c r="AA120" s="42"/>
      <c r="AB120" s="464">
        <v>155</v>
      </c>
      <c r="AC120" s="42"/>
      <c r="AD120" s="42">
        <v>0.18886957042702984</v>
      </c>
      <c r="AE120" s="472" t="s">
        <v>88</v>
      </c>
      <c r="AF120" s="478" t="s">
        <v>88</v>
      </c>
      <c r="AG120" s="498" t="s">
        <v>88</v>
      </c>
      <c r="AH120" s="498"/>
    </row>
    <row r="121" spans="1:34" ht="12.75">
      <c r="A121" s="233" t="s">
        <v>461</v>
      </c>
      <c r="B121" s="208">
        <v>0.058353379488455114</v>
      </c>
      <c r="C121" s="208"/>
      <c r="D121" s="208">
        <v>12.280701754385959</v>
      </c>
      <c r="E121" s="208"/>
      <c r="F121" s="208">
        <v>0.05118717498987291</v>
      </c>
      <c r="G121" s="208"/>
      <c r="H121" s="208">
        <v>6</v>
      </c>
      <c r="I121" s="208"/>
      <c r="J121" s="208">
        <v>0.048115944490480546</v>
      </c>
      <c r="K121" s="208"/>
      <c r="L121" s="208">
        <v>0</v>
      </c>
      <c r="M121" s="208"/>
      <c r="N121" s="208">
        <v>30</v>
      </c>
      <c r="O121" s="208"/>
      <c r="P121" s="41">
        <f>0.01*42.280701754386</f>
        <v>0.42280701754386</v>
      </c>
      <c r="Q121" s="208"/>
      <c r="R121" s="208">
        <v>0.03368116114333638</v>
      </c>
      <c r="S121" s="208"/>
      <c r="T121" s="208"/>
      <c r="U121" s="208"/>
      <c r="V121" s="208">
        <v>0.001476434461077759</v>
      </c>
      <c r="W121" s="208"/>
      <c r="X121" s="42">
        <v>0.041856178754323924</v>
      </c>
      <c r="Y121" s="42"/>
      <c r="Z121" s="42">
        <v>73.5</v>
      </c>
      <c r="AA121" s="42"/>
      <c r="AB121" s="464">
        <v>139.5</v>
      </c>
      <c r="AC121" s="42"/>
      <c r="AD121" s="42">
        <v>0.022053255472708304</v>
      </c>
      <c r="AE121" s="472" t="s">
        <v>88</v>
      </c>
      <c r="AF121" s="478" t="s">
        <v>88</v>
      </c>
      <c r="AG121" s="498" t="s">
        <v>88</v>
      </c>
      <c r="AH121" s="498"/>
    </row>
    <row r="122" spans="1:34" ht="12.75">
      <c r="A122" s="233" t="s">
        <v>462</v>
      </c>
      <c r="B122" s="208">
        <v>1.6981286356019467</v>
      </c>
      <c r="C122" s="208"/>
      <c r="D122" s="208">
        <v>8</v>
      </c>
      <c r="E122" s="208"/>
      <c r="F122" s="208">
        <v>1.5622783447537905</v>
      </c>
      <c r="G122" s="208"/>
      <c r="H122" s="208">
        <v>22.76092400035521</v>
      </c>
      <c r="I122" s="208"/>
      <c r="J122" s="208">
        <v>1.2066893580303728</v>
      </c>
      <c r="K122" s="208"/>
      <c r="L122" s="208">
        <v>54</v>
      </c>
      <c r="M122" s="208"/>
      <c r="N122" s="208">
        <v>43</v>
      </c>
      <c r="O122" s="208"/>
      <c r="P122" s="41">
        <f>0.01*97.8682015024098</f>
        <v>0.978682015024098</v>
      </c>
      <c r="Q122" s="208"/>
      <c r="R122" s="208">
        <v>0.03620068074091125</v>
      </c>
      <c r="S122" s="208"/>
      <c r="T122" s="208"/>
      <c r="U122" s="208"/>
      <c r="V122" s="208">
        <v>0.0015868791557659728</v>
      </c>
      <c r="W122" s="208"/>
      <c r="X122" s="42">
        <v>0.044987230626387445</v>
      </c>
      <c r="Y122" s="42"/>
      <c r="Z122" s="42">
        <v>62.5</v>
      </c>
      <c r="AA122" s="42"/>
      <c r="AB122" s="464">
        <v>173.5</v>
      </c>
      <c r="AC122" s="42"/>
      <c r="AD122" s="42">
        <v>0.016205774721321124</v>
      </c>
      <c r="AE122" s="472" t="s">
        <v>88</v>
      </c>
      <c r="AF122" s="478" t="s">
        <v>88</v>
      </c>
      <c r="AG122" s="498" t="s">
        <v>88</v>
      </c>
      <c r="AH122" s="498"/>
    </row>
    <row r="123" spans="1:34" ht="12.75">
      <c r="A123" s="233" t="s">
        <v>733</v>
      </c>
      <c r="B123" s="208">
        <v>0.21052285938237514</v>
      </c>
      <c r="C123" s="208"/>
      <c r="D123" s="208">
        <v>8</v>
      </c>
      <c r="E123" s="208"/>
      <c r="F123" s="208">
        <v>0.19368103063178516</v>
      </c>
      <c r="G123" s="208"/>
      <c r="H123" s="208">
        <v>9.753979637346216</v>
      </c>
      <c r="I123" s="208"/>
      <c r="J123" s="208">
        <v>0.17478942234255856</v>
      </c>
      <c r="K123" s="208"/>
      <c r="L123" s="208">
        <v>4</v>
      </c>
      <c r="M123" s="208"/>
      <c r="N123" s="208">
        <v>20</v>
      </c>
      <c r="O123" s="208"/>
      <c r="P123" s="41">
        <f>0.01*36.8999825624325</f>
        <v>0.368999825624325</v>
      </c>
      <c r="Q123" s="208"/>
      <c r="R123" s="208">
        <v>0.1328399609803445</v>
      </c>
      <c r="S123" s="208"/>
      <c r="T123" s="208"/>
      <c r="U123" s="208"/>
      <c r="V123" s="208">
        <v>0.00582312157722058</v>
      </c>
      <c r="W123" s="208"/>
      <c r="X123" s="42">
        <v>0.16508258515341484</v>
      </c>
      <c r="Y123" s="42"/>
      <c r="Z123" s="42">
        <v>64</v>
      </c>
      <c r="AA123" s="42"/>
      <c r="AB123" s="464">
        <v>123</v>
      </c>
      <c r="AC123" s="42"/>
      <c r="AD123" s="42">
        <v>0.08589662967332154</v>
      </c>
      <c r="AE123" s="472" t="s">
        <v>88</v>
      </c>
      <c r="AF123" s="478" t="s">
        <v>88</v>
      </c>
      <c r="AG123" s="498" t="s">
        <v>88</v>
      </c>
      <c r="AH123" s="498"/>
    </row>
    <row r="124" spans="1:34" ht="12.75">
      <c r="A124" s="233" t="s">
        <v>734</v>
      </c>
      <c r="B124" s="208">
        <v>0.45534300810047873</v>
      </c>
      <c r="C124" s="208"/>
      <c r="D124" s="208">
        <v>4.761904761904767</v>
      </c>
      <c r="E124" s="208"/>
      <c r="F124" s="208">
        <v>0.4336600077147417</v>
      </c>
      <c r="G124" s="208"/>
      <c r="H124" s="208">
        <v>6</v>
      </c>
      <c r="I124" s="208"/>
      <c r="J124" s="208">
        <v>0.4076404072518572</v>
      </c>
      <c r="K124" s="208"/>
      <c r="L124" s="208">
        <v>0</v>
      </c>
      <c r="M124" s="208"/>
      <c r="N124" s="208">
        <v>24</v>
      </c>
      <c r="O124" s="208"/>
      <c r="P124" s="41">
        <f>0.01*31.9619047619048</f>
        <v>0.319619047619048</v>
      </c>
      <c r="Q124" s="208"/>
      <c r="R124" s="208">
        <v>0.3098067095114115</v>
      </c>
      <c r="S124" s="208"/>
      <c r="T124" s="208"/>
      <c r="U124" s="208"/>
      <c r="V124" s="208">
        <v>0.013580568088171463</v>
      </c>
      <c r="W124" s="208"/>
      <c r="X124" s="42">
        <v>0.3850023150156168</v>
      </c>
      <c r="Y124" s="42"/>
      <c r="Z124" s="42">
        <v>97</v>
      </c>
      <c r="AA124" s="42"/>
      <c r="AB124" s="464">
        <v>151</v>
      </c>
      <c r="AC124" s="42"/>
      <c r="AD124" s="42">
        <v>0.2473193679239393</v>
      </c>
      <c r="AE124" s="472" t="s">
        <v>88</v>
      </c>
      <c r="AF124" s="478" t="s">
        <v>88</v>
      </c>
      <c r="AG124" s="498" t="s">
        <v>88</v>
      </c>
      <c r="AH124" s="498"/>
    </row>
    <row r="125" spans="1:34" ht="12.75">
      <c r="A125" s="14" t="s">
        <v>735</v>
      </c>
      <c r="B125" s="208">
        <v>9.276666051914415</v>
      </c>
      <c r="C125" s="208"/>
      <c r="D125" s="208">
        <v>3</v>
      </c>
      <c r="E125" s="208"/>
      <c r="F125" s="208">
        <v>8.998366070356983</v>
      </c>
      <c r="G125" s="208"/>
      <c r="H125" s="208">
        <v>11.569651802974827</v>
      </c>
      <c r="I125" s="208"/>
      <c r="J125" s="208">
        <v>7.957286448059652</v>
      </c>
      <c r="K125" s="208"/>
      <c r="L125" s="208">
        <v>27</v>
      </c>
      <c r="M125" s="208"/>
      <c r="N125" s="208">
        <v>36</v>
      </c>
      <c r="O125" s="208"/>
      <c r="P125" s="41">
        <f>0.01*68.2623480320877</f>
        <v>0.682623480320877</v>
      </c>
      <c r="Q125" s="208"/>
      <c r="R125" s="208">
        <v>2.944195985782071</v>
      </c>
      <c r="S125" s="208"/>
      <c r="T125" s="208"/>
      <c r="U125" s="208"/>
      <c r="V125" s="208">
        <v>0.1290606459520908</v>
      </c>
      <c r="W125" s="208"/>
      <c r="X125" s="42">
        <v>3.658804782418798</v>
      </c>
      <c r="Y125" s="15"/>
      <c r="Z125" s="15">
        <v>88</v>
      </c>
      <c r="AA125" s="15"/>
      <c r="AB125" s="473">
        <v>188</v>
      </c>
      <c r="AC125" s="15"/>
      <c r="AD125" s="15">
        <v>1.71263202581305</v>
      </c>
      <c r="AE125" s="465">
        <f>Fruit!D18/Fruit!B18</f>
        <v>2.9301685503623855</v>
      </c>
      <c r="AF125" s="483">
        <f aca="true" t="shared" si="6" ref="AF125:AF140">AE125*X125</f>
        <v>10.720914705359053</v>
      </c>
      <c r="AG125" s="208">
        <v>5.0384</v>
      </c>
      <c r="AH125" s="1134"/>
    </row>
    <row r="126" spans="1:34" ht="12.75">
      <c r="A126" s="14" t="s">
        <v>736</v>
      </c>
      <c r="B126" s="208">
        <v>56.996628244499504</v>
      </c>
      <c r="C126" s="208"/>
      <c r="D126" s="208">
        <v>35.4479055826456</v>
      </c>
      <c r="E126" s="208"/>
      <c r="F126" s="208">
        <v>36.77153684171021</v>
      </c>
      <c r="G126" s="208"/>
      <c r="H126" s="208">
        <v>6</v>
      </c>
      <c r="I126" s="208"/>
      <c r="J126" s="208">
        <v>34.56524463120759</v>
      </c>
      <c r="K126" s="208"/>
      <c r="L126" s="208">
        <v>0</v>
      </c>
      <c r="M126" s="208"/>
      <c r="N126" s="208">
        <v>10</v>
      </c>
      <c r="O126" s="208"/>
      <c r="P126" s="41">
        <f>0.01*45.3889281229182</f>
        <v>0.45388928122918204</v>
      </c>
      <c r="Q126" s="208"/>
      <c r="R126" s="208">
        <v>31.108720168086837</v>
      </c>
      <c r="S126" s="208"/>
      <c r="T126" s="208">
        <v>3.5757149618490613</v>
      </c>
      <c r="U126" s="208"/>
      <c r="V126" s="208">
        <v>1.3636699251764093</v>
      </c>
      <c r="W126" s="208"/>
      <c r="X126" s="42">
        <v>38.65936054378861</v>
      </c>
      <c r="Y126" s="15"/>
      <c r="Z126" s="15">
        <v>117</v>
      </c>
      <c r="AA126" s="15"/>
      <c r="AB126" s="473">
        <v>249</v>
      </c>
      <c r="AC126" s="15"/>
      <c r="AD126" s="15">
        <v>18.165241701298264</v>
      </c>
      <c r="AE126" s="465">
        <f>Fruit!D18/Fruit!B18</f>
        <v>2.9301685503623855</v>
      </c>
      <c r="AF126" s="483">
        <f t="shared" si="6"/>
        <v>113.27844244252987</v>
      </c>
      <c r="AG126" s="208">
        <v>53.2416</v>
      </c>
      <c r="AH126" s="1134"/>
    </row>
    <row r="127" spans="1:34" ht="12.75">
      <c r="A127" s="14" t="s">
        <v>737</v>
      </c>
      <c r="B127" s="208">
        <v>24.74285285156528</v>
      </c>
      <c r="C127" s="208"/>
      <c r="D127" s="208">
        <v>0</v>
      </c>
      <c r="E127" s="208"/>
      <c r="F127" s="208">
        <v>24.74285285156528</v>
      </c>
      <c r="G127" s="208"/>
      <c r="H127" s="208">
        <v>7.966253243459346</v>
      </c>
      <c r="I127" s="208"/>
      <c r="J127" s="208">
        <v>22.771774533753092</v>
      </c>
      <c r="K127" s="208"/>
      <c r="L127" s="208">
        <v>36</v>
      </c>
      <c r="M127" s="208"/>
      <c r="N127" s="208">
        <v>20</v>
      </c>
      <c r="O127" s="208"/>
      <c r="P127" s="41">
        <f>0.01*59.5051514271221</f>
        <v>0.595051514271221</v>
      </c>
      <c r="Q127" s="208"/>
      <c r="R127" s="208">
        <v>10.019580794851361</v>
      </c>
      <c r="S127" s="208"/>
      <c r="T127" s="208"/>
      <c r="U127" s="208"/>
      <c r="V127" s="208">
        <v>0.43921450059622397</v>
      </c>
      <c r="W127" s="208"/>
      <c r="X127" s="15">
        <v>12.45151148465265</v>
      </c>
      <c r="Y127" s="15"/>
      <c r="Z127" s="15">
        <v>139</v>
      </c>
      <c r="AA127" s="15"/>
      <c r="AB127" s="473">
        <v>156</v>
      </c>
      <c r="AC127" s="15"/>
      <c r="AD127" s="15">
        <v>11.094616002350762</v>
      </c>
      <c r="AE127" s="465">
        <f>Fruit!D19/Fruit!B19</f>
        <v>2.930168550362385</v>
      </c>
      <c r="AF127" s="477">
        <f t="shared" si="6"/>
        <v>36.48502735680525</v>
      </c>
      <c r="AG127" s="208">
        <v>32.4761</v>
      </c>
      <c r="AH127" s="1134"/>
    </row>
    <row r="128" spans="1:34" ht="12.75">
      <c r="A128" s="14" t="s">
        <v>738</v>
      </c>
      <c r="B128" s="208">
        <v>5.215560112822481</v>
      </c>
      <c r="C128" s="208"/>
      <c r="D128" s="208">
        <v>5</v>
      </c>
      <c r="E128" s="208"/>
      <c r="F128" s="208">
        <v>4.954782107181357</v>
      </c>
      <c r="G128" s="208"/>
      <c r="H128" s="208">
        <v>14.629115889840037</v>
      </c>
      <c r="I128" s="208"/>
      <c r="J128" s="208">
        <v>4.2299412906327385</v>
      </c>
      <c r="K128" s="208"/>
      <c r="L128" s="208">
        <v>49</v>
      </c>
      <c r="M128" s="208"/>
      <c r="N128" s="208">
        <v>37</v>
      </c>
      <c r="O128" s="208"/>
      <c r="P128" s="41">
        <f>0.01*88.6456724133487</f>
        <v>0.8864567241334871</v>
      </c>
      <c r="Q128" s="208"/>
      <c r="R128" s="208">
        <v>0.5921917806885834</v>
      </c>
      <c r="S128" s="208"/>
      <c r="T128" s="208"/>
      <c r="U128" s="208"/>
      <c r="V128" s="208">
        <v>0.02595909175621187</v>
      </c>
      <c r="W128" s="208"/>
      <c r="X128" s="15">
        <v>0.7359272717427284</v>
      </c>
      <c r="Y128" s="15"/>
      <c r="Z128" s="15">
        <v>82</v>
      </c>
      <c r="AA128" s="15"/>
      <c r="AB128" s="473">
        <v>165</v>
      </c>
      <c r="AC128" s="15"/>
      <c r="AD128" s="15">
        <v>0.36573355322971957</v>
      </c>
      <c r="AE128" s="465">
        <f>Fruit!D20/Fruit!B20</f>
        <v>2.9301685503623855</v>
      </c>
      <c r="AF128" s="477">
        <f t="shared" si="6"/>
        <v>2.156390947014536</v>
      </c>
      <c r="AG128" s="208">
        <v>1.08</v>
      </c>
      <c r="AH128" s="1134"/>
    </row>
    <row r="129" spans="1:34" ht="12.75">
      <c r="A129" s="14" t="s">
        <v>739</v>
      </c>
      <c r="B129" s="208">
        <v>4.297004329456838</v>
      </c>
      <c r="C129" s="208"/>
      <c r="D129" s="208">
        <v>41.48624926857812</v>
      </c>
      <c r="E129" s="208"/>
      <c r="F129" s="208">
        <v>2.5143384022567803</v>
      </c>
      <c r="G129" s="208"/>
      <c r="H129" s="208">
        <v>6</v>
      </c>
      <c r="I129" s="208"/>
      <c r="J129" s="208">
        <v>2.3634780981213734</v>
      </c>
      <c r="K129" s="208"/>
      <c r="L129" s="208">
        <v>0</v>
      </c>
      <c r="M129" s="208"/>
      <c r="N129" s="208">
        <v>9</v>
      </c>
      <c r="O129" s="208"/>
      <c r="P129" s="41">
        <f>0.01*49.9473376243417</f>
        <v>0.499473376243417</v>
      </c>
      <c r="Q129" s="208"/>
      <c r="R129" s="208">
        <v>2.1507650692904496</v>
      </c>
      <c r="S129" s="208"/>
      <c r="T129" s="208"/>
      <c r="U129" s="208"/>
      <c r="V129" s="208">
        <v>0.09428011262643068</v>
      </c>
      <c r="W129" s="208"/>
      <c r="X129" s="15">
        <v>2.6727940529029963</v>
      </c>
      <c r="Y129" s="15"/>
      <c r="Z129" s="15">
        <v>79</v>
      </c>
      <c r="AA129" s="15"/>
      <c r="AB129" s="473">
        <v>246</v>
      </c>
      <c r="AC129" s="15"/>
      <c r="AD129" s="15">
        <v>0.8583363015420191</v>
      </c>
      <c r="AE129" s="465">
        <f>Fruit!D20/Fruit!B20</f>
        <v>2.9301685503623855</v>
      </c>
      <c r="AF129" s="477">
        <f t="shared" si="6"/>
        <v>7.831737075411978</v>
      </c>
      <c r="AG129" s="208">
        <v>2.5056</v>
      </c>
      <c r="AH129" s="1134"/>
    </row>
    <row r="130" spans="1:34" ht="12.75">
      <c r="A130" s="14" t="s">
        <v>740</v>
      </c>
      <c r="B130" s="208">
        <v>3.703414644858474</v>
      </c>
      <c r="C130" s="208"/>
      <c r="D130" s="208">
        <v>41.33333333333332</v>
      </c>
      <c r="E130" s="208"/>
      <c r="F130" s="208">
        <v>2.1726699249836385</v>
      </c>
      <c r="G130" s="208"/>
      <c r="H130" s="208">
        <v>6</v>
      </c>
      <c r="I130" s="208"/>
      <c r="J130" s="208">
        <v>2.04230972948462</v>
      </c>
      <c r="K130" s="208"/>
      <c r="L130" s="208">
        <v>0</v>
      </c>
      <c r="M130" s="208"/>
      <c r="N130" s="208">
        <v>10</v>
      </c>
      <c r="O130" s="208"/>
      <c r="P130" s="41">
        <f>0.01*50.368</f>
        <v>0.50368</v>
      </c>
      <c r="Q130" s="208"/>
      <c r="R130" s="208">
        <v>1.838078756536158</v>
      </c>
      <c r="S130" s="208"/>
      <c r="T130" s="208">
        <v>0.20887258597001793</v>
      </c>
      <c r="U130" s="208"/>
      <c r="V130" s="208">
        <v>0.08057331535500967</v>
      </c>
      <c r="W130" s="208"/>
      <c r="X130" s="15">
        <v>2.2842132036568463</v>
      </c>
      <c r="Y130" s="15"/>
      <c r="Z130" s="15">
        <v>132</v>
      </c>
      <c r="AA130" s="15"/>
      <c r="AB130" s="473">
        <v>250</v>
      </c>
      <c r="AC130" s="15"/>
      <c r="AD130" s="15">
        <v>1.206064571530815</v>
      </c>
      <c r="AE130" s="465">
        <f>Fruit!D20/Fruit!B20</f>
        <v>2.9301685503623855</v>
      </c>
      <c r="AF130" s="477">
        <f t="shared" si="6"/>
        <v>6.693129691677802</v>
      </c>
      <c r="AG130" s="208">
        <v>3.4788</v>
      </c>
      <c r="AH130" s="1134"/>
    </row>
    <row r="131" spans="1:34" ht="12.75">
      <c r="A131" s="14" t="s">
        <v>741</v>
      </c>
      <c r="B131" s="272">
        <v>6.719687625688763</v>
      </c>
      <c r="C131" s="208"/>
      <c r="D131" s="208">
        <v>79.44912136773496</v>
      </c>
      <c r="E131" s="208"/>
      <c r="F131" s="208">
        <v>1.38095484842263</v>
      </c>
      <c r="G131" s="208"/>
      <c r="H131" s="208">
        <v>6</v>
      </c>
      <c r="I131" s="208"/>
      <c r="J131" s="208">
        <v>1.2980975575172722</v>
      </c>
      <c r="K131" s="208"/>
      <c r="L131" s="208">
        <v>0</v>
      </c>
      <c r="M131" s="208"/>
      <c r="N131" s="208">
        <v>26</v>
      </c>
      <c r="O131" s="208"/>
      <c r="P131" s="41">
        <f>0.01*85.7048088233964</f>
        <v>0.8570480882339641</v>
      </c>
      <c r="Q131" s="208"/>
      <c r="R131" s="208">
        <v>0.9605921925627815</v>
      </c>
      <c r="S131" s="208"/>
      <c r="T131" s="208"/>
      <c r="U131" s="208"/>
      <c r="V131" s="208">
        <v>0.04210815090686165</v>
      </c>
      <c r="W131" s="208"/>
      <c r="X131" s="15">
        <v>1.1937450241340741</v>
      </c>
      <c r="Y131" s="15"/>
      <c r="Z131" s="15">
        <v>271</v>
      </c>
      <c r="AA131" s="15"/>
      <c r="AB131" s="473">
        <v>72.5</v>
      </c>
      <c r="AC131" s="15"/>
      <c r="AD131" s="15">
        <v>4.462136572970126</v>
      </c>
      <c r="AE131" s="465">
        <f>Fruit!D21/Fruit!B21</f>
        <v>2.9301685503623855</v>
      </c>
      <c r="AF131" s="477">
        <f t="shared" si="6"/>
        <v>3.497874126869251</v>
      </c>
      <c r="AG131" s="208">
        <v>10.465</v>
      </c>
      <c r="AH131" s="1134"/>
    </row>
    <row r="132" spans="1:34" ht="12.75">
      <c r="A132" s="14" t="s">
        <v>742</v>
      </c>
      <c r="B132" s="208">
        <v>2.771725755890351</v>
      </c>
      <c r="C132" s="208"/>
      <c r="D132" s="208">
        <v>3</v>
      </c>
      <c r="E132" s="208"/>
      <c r="F132" s="208">
        <v>2.6885739832136406</v>
      </c>
      <c r="G132" s="208"/>
      <c r="H132" s="208">
        <v>12.836730422519542</v>
      </c>
      <c r="I132" s="208"/>
      <c r="J132" s="208">
        <v>2.3434489887785097</v>
      </c>
      <c r="K132" s="208"/>
      <c r="L132" s="208">
        <v>50</v>
      </c>
      <c r="M132" s="208"/>
      <c r="N132" s="208">
        <v>20</v>
      </c>
      <c r="O132" s="208"/>
      <c r="P132" s="41">
        <f>0.01*74.6354885529532</f>
        <v>0.7463548855295321</v>
      </c>
      <c r="Q132" s="208"/>
      <c r="R132" s="208">
        <v>0.703034696633553</v>
      </c>
      <c r="S132" s="208"/>
      <c r="T132" s="208"/>
      <c r="U132" s="208"/>
      <c r="V132" s="208">
        <v>0.03081795930448451</v>
      </c>
      <c r="W132" s="208"/>
      <c r="X132" s="15">
        <v>0.8736737373024835</v>
      </c>
      <c r="Y132" s="15"/>
      <c r="Z132" s="15">
        <v>78</v>
      </c>
      <c r="AA132" s="15"/>
      <c r="AB132" s="473">
        <v>243</v>
      </c>
      <c r="AC132" s="15"/>
      <c r="AD132" s="42">
        <v>0.280438483578575</v>
      </c>
      <c r="AE132" s="465">
        <f>Fruit!D22/Fruit!B22</f>
        <v>2.9301685503623855</v>
      </c>
      <c r="AF132" s="477">
        <f t="shared" si="6"/>
        <v>2.5600113083213056</v>
      </c>
      <c r="AG132" s="208">
        <v>0.8192</v>
      </c>
      <c r="AH132" s="1134"/>
    </row>
    <row r="133" spans="1:34" ht="12.75">
      <c r="A133" s="14" t="s">
        <v>743</v>
      </c>
      <c r="B133" s="272">
        <v>4.049086815825161</v>
      </c>
      <c r="C133" s="208"/>
      <c r="D133" s="208">
        <v>32.070598007412165</v>
      </c>
      <c r="E133" s="208"/>
      <c r="F133" s="208">
        <v>2.777704699630521</v>
      </c>
      <c r="G133" s="208"/>
      <c r="H133" s="208">
        <v>6</v>
      </c>
      <c r="I133" s="208"/>
      <c r="J133" s="208">
        <v>2.6110424176526896</v>
      </c>
      <c r="K133" s="208"/>
      <c r="L133" s="208">
        <v>0</v>
      </c>
      <c r="M133" s="208"/>
      <c r="N133" s="208">
        <v>10</v>
      </c>
      <c r="O133" s="208"/>
      <c r="P133" s="41">
        <f>0.01*42.5317259142707</f>
        <v>0.425317259142707</v>
      </c>
      <c r="Q133" s="208"/>
      <c r="R133" s="208">
        <v>2.3499381758874205</v>
      </c>
      <c r="S133" s="208"/>
      <c r="T133" s="208">
        <v>0.2701078363088989</v>
      </c>
      <c r="U133" s="208"/>
      <c r="V133" s="208">
        <v>0.1030109885320513</v>
      </c>
      <c r="W133" s="208"/>
      <c r="X133" s="15">
        <v>2.9203100193893885</v>
      </c>
      <c r="Y133" s="15"/>
      <c r="Z133" s="15">
        <v>94</v>
      </c>
      <c r="AA133" s="15"/>
      <c r="AB133" s="473">
        <v>247</v>
      </c>
      <c r="AC133" s="15"/>
      <c r="AD133" s="15">
        <v>1.1113730438162044</v>
      </c>
      <c r="AE133" s="465">
        <f>Fruit!D22/Fruit!B22</f>
        <v>2.9301685503623855</v>
      </c>
      <c r="AF133" s="477">
        <f t="shared" si="6"/>
        <v>8.557000576122954</v>
      </c>
      <c r="AG133" s="208">
        <v>3.3669333333333338</v>
      </c>
      <c r="AH133" s="1134"/>
    </row>
    <row r="134" spans="1:34" ht="12.75">
      <c r="A134" s="14" t="s">
        <v>421</v>
      </c>
      <c r="B134" s="272">
        <v>2.96651041241192</v>
      </c>
      <c r="C134" s="208"/>
      <c r="D134" s="208">
        <v>4</v>
      </c>
      <c r="E134" s="208"/>
      <c r="F134" s="208">
        <v>2.8478499959154435</v>
      </c>
      <c r="G134" s="208"/>
      <c r="H134" s="208">
        <v>6.963065155121987</v>
      </c>
      <c r="I134" s="208"/>
      <c r="J134" s="208">
        <v>2.649552345179712</v>
      </c>
      <c r="K134" s="208"/>
      <c r="L134" s="208">
        <v>47</v>
      </c>
      <c r="M134" s="208"/>
      <c r="N134" s="208">
        <v>44</v>
      </c>
      <c r="O134" s="208"/>
      <c r="P134" s="41">
        <f>0.01*91.9616088294025</f>
        <v>0.919616088294025</v>
      </c>
      <c r="Q134" s="208"/>
      <c r="R134" s="208">
        <v>0.2384597110661742</v>
      </c>
      <c r="S134" s="208"/>
      <c r="T134" s="208"/>
      <c r="U134" s="208"/>
      <c r="V134" s="208">
        <v>0.010453028430298047</v>
      </c>
      <c r="W134" s="208"/>
      <c r="X134" s="42">
        <v>0.2963381294847345</v>
      </c>
      <c r="Y134" s="15"/>
      <c r="Z134" s="15">
        <v>61</v>
      </c>
      <c r="AA134" s="15"/>
      <c r="AB134" s="473">
        <v>212</v>
      </c>
      <c r="AC134" s="15"/>
      <c r="AD134" s="42">
        <v>0.08526710329513586</v>
      </c>
      <c r="AE134" s="465">
        <f>Fruit!$D$28/Fruit!$B$28</f>
        <v>2.937396954834449</v>
      </c>
      <c r="AF134" s="477">
        <f t="shared" si="6"/>
        <v>0.8704627191497957</v>
      </c>
      <c r="AG134" s="208">
        <v>0.2465</v>
      </c>
      <c r="AH134" s="1134"/>
    </row>
    <row r="135" spans="1:34" ht="12.75">
      <c r="A135" s="14" t="s">
        <v>422</v>
      </c>
      <c r="B135" s="208">
        <v>3.7219207100163105</v>
      </c>
      <c r="C135" s="208"/>
      <c r="D135" s="208">
        <v>66.34615384615385</v>
      </c>
      <c r="E135" s="208"/>
      <c r="F135" s="208">
        <v>1.2525694697170273</v>
      </c>
      <c r="G135" s="208"/>
      <c r="H135" s="208">
        <v>6</v>
      </c>
      <c r="I135" s="208"/>
      <c r="J135" s="208">
        <v>1.177415301534006</v>
      </c>
      <c r="K135" s="208"/>
      <c r="L135" s="208">
        <v>0</v>
      </c>
      <c r="M135" s="208"/>
      <c r="N135" s="208">
        <v>10</v>
      </c>
      <c r="O135" s="208"/>
      <c r="P135" s="41">
        <f>0.01*71.5288461538462</f>
        <v>0.715288461538462</v>
      </c>
      <c r="Q135" s="208"/>
      <c r="R135" s="208">
        <v>1.0596737713806053</v>
      </c>
      <c r="S135" s="208"/>
      <c r="T135" s="208">
        <v>0.12110557387206917</v>
      </c>
      <c r="U135" s="208"/>
      <c r="V135" s="208">
        <v>0.046451452992026535</v>
      </c>
      <c r="W135" s="208"/>
      <c r="X135" s="15">
        <v>1.3168754665974562</v>
      </c>
      <c r="Y135" s="15"/>
      <c r="Z135" s="15">
        <v>51</v>
      </c>
      <c r="AA135" s="15"/>
      <c r="AB135" s="473">
        <v>244</v>
      </c>
      <c r="AC135" s="15"/>
      <c r="AD135" s="42">
        <v>0.2752485606412717</v>
      </c>
      <c r="AE135" s="465">
        <f>Fruit!$D$28/Fruit!$B$28</f>
        <v>2.937396954834449</v>
      </c>
      <c r="AF135" s="477">
        <f t="shared" si="6"/>
        <v>3.868185985479562</v>
      </c>
      <c r="AG135" s="208">
        <v>0.81485</v>
      </c>
      <c r="AH135" s="1134"/>
    </row>
    <row r="136" spans="1:34" ht="12.75">
      <c r="A136" s="14" t="s">
        <v>423</v>
      </c>
      <c r="B136" s="208">
        <v>2.4250526230141043</v>
      </c>
      <c r="C136" s="208"/>
      <c r="D136" s="208">
        <v>5</v>
      </c>
      <c r="E136" s="208"/>
      <c r="F136" s="208">
        <v>2.3037999918633987</v>
      </c>
      <c r="G136" s="208"/>
      <c r="H136" s="208">
        <v>8.317462745050063</v>
      </c>
      <c r="I136" s="208"/>
      <c r="J136" s="208">
        <v>2.1121822858196935</v>
      </c>
      <c r="K136" s="208"/>
      <c r="L136" s="208">
        <v>16</v>
      </c>
      <c r="M136" s="208"/>
      <c r="N136" s="208">
        <v>44</v>
      </c>
      <c r="O136" s="208"/>
      <c r="P136" s="41">
        <f>0.01*65.160635843119</f>
        <v>0.65160635843119</v>
      </c>
      <c r="Q136" s="208"/>
      <c r="R136" s="208">
        <v>0.8448729143278776</v>
      </c>
      <c r="S136" s="208"/>
      <c r="T136" s="208"/>
      <c r="U136" s="208"/>
      <c r="V136" s="208">
        <v>0.03703552501163299</v>
      </c>
      <c r="W136" s="208"/>
      <c r="X136" s="15">
        <v>1.0499386163172895</v>
      </c>
      <c r="Y136" s="15"/>
      <c r="Z136" s="15">
        <v>62</v>
      </c>
      <c r="AA136" s="15"/>
      <c r="AB136" s="473">
        <v>207.7</v>
      </c>
      <c r="AC136" s="15"/>
      <c r="AD136" s="42">
        <v>0.3134145123335193</v>
      </c>
      <c r="AE136" s="465">
        <f>Fruit!$D$28/Fruit!$B$28</f>
        <v>2.937396954834449</v>
      </c>
      <c r="AF136" s="477">
        <f t="shared" si="6"/>
        <v>3.084086494333501</v>
      </c>
      <c r="AG136" s="208">
        <v>0.9059999999999999</v>
      </c>
      <c r="AH136" s="1134"/>
    </row>
    <row r="137" spans="1:34" ht="12.75">
      <c r="A137" s="14" t="s">
        <v>424</v>
      </c>
      <c r="B137" s="208">
        <v>0.8243739926640774</v>
      </c>
      <c r="C137" s="208"/>
      <c r="D137" s="208">
        <v>66.75</v>
      </c>
      <c r="E137" s="208"/>
      <c r="F137" s="208">
        <v>0.27410435256080573</v>
      </c>
      <c r="G137" s="208"/>
      <c r="H137" s="208">
        <v>6</v>
      </c>
      <c r="I137" s="208"/>
      <c r="J137" s="208">
        <v>0.2576580914071574</v>
      </c>
      <c r="K137" s="208"/>
      <c r="L137" s="208">
        <v>0</v>
      </c>
      <c r="M137" s="208"/>
      <c r="N137" s="208">
        <v>10</v>
      </c>
      <c r="O137" s="208"/>
      <c r="P137" s="41">
        <f>0.01*71.8705</f>
        <v>0.718705</v>
      </c>
      <c r="Q137" s="208"/>
      <c r="R137" s="208">
        <v>0.23189228226644168</v>
      </c>
      <c r="S137" s="208"/>
      <c r="T137" s="208">
        <v>0.026501975116164762</v>
      </c>
      <c r="U137" s="208"/>
      <c r="V137" s="208">
        <v>0.01016514114044676</v>
      </c>
      <c r="W137" s="208"/>
      <c r="X137" s="42">
        <v>0.2881766687610953</v>
      </c>
      <c r="Y137" s="42"/>
      <c r="Z137" s="42">
        <v>52</v>
      </c>
      <c r="AA137" s="42"/>
      <c r="AB137" s="464">
        <v>249</v>
      </c>
      <c r="AC137" s="42"/>
      <c r="AD137" s="42">
        <v>0.06018147299428498</v>
      </c>
      <c r="AE137" s="465">
        <f>Fruit!$D$28/Fruit!$B$28</f>
        <v>2.937396954834449</v>
      </c>
      <c r="AF137" s="477">
        <f t="shared" si="6"/>
        <v>0.846489269273177</v>
      </c>
      <c r="AG137" s="208">
        <v>0.1909</v>
      </c>
      <c r="AH137" s="1134"/>
    </row>
    <row r="138" spans="1:34" ht="12.75">
      <c r="A138" s="14" t="s">
        <v>744</v>
      </c>
      <c r="B138" s="208">
        <v>3.046951645104296</v>
      </c>
      <c r="C138" s="208"/>
      <c r="D138" s="208">
        <v>5</v>
      </c>
      <c r="E138" s="208"/>
      <c r="F138" s="208">
        <v>2.8946040628490817</v>
      </c>
      <c r="G138" s="208"/>
      <c r="H138" s="208">
        <v>20.437688512800264</v>
      </c>
      <c r="I138" s="208"/>
      <c r="J138" s="208">
        <v>2.303013900805125</v>
      </c>
      <c r="K138" s="208"/>
      <c r="L138" s="208">
        <v>26</v>
      </c>
      <c r="M138" s="208"/>
      <c r="N138" s="208">
        <v>52</v>
      </c>
      <c r="O138" s="208"/>
      <c r="P138" s="41">
        <f>0.01*83.3714768991753</f>
        <v>0.8337147689917531</v>
      </c>
      <c r="Q138" s="208"/>
      <c r="R138" s="208">
        <v>0.5066630581771274</v>
      </c>
      <c r="S138" s="208"/>
      <c r="T138" s="208"/>
      <c r="U138" s="208"/>
      <c r="V138" s="208">
        <v>0.022209887481737096</v>
      </c>
      <c r="W138" s="208"/>
      <c r="X138" s="15">
        <v>0.6296392051635058</v>
      </c>
      <c r="Y138" s="15"/>
      <c r="Z138" s="15">
        <v>103</v>
      </c>
      <c r="AA138" s="15"/>
      <c r="AB138" s="473">
        <v>195</v>
      </c>
      <c r="AC138" s="15"/>
      <c r="AD138" s="42">
        <v>0.3325786570863646</v>
      </c>
      <c r="AE138" s="465">
        <f>Fruit!$D$28/Fruit!$B$28</f>
        <v>2.937396954834449</v>
      </c>
      <c r="AF138" s="477">
        <f t="shared" si="6"/>
        <v>1.8495002838916648</v>
      </c>
      <c r="AG138" s="208">
        <v>0.9593</v>
      </c>
      <c r="AH138" s="1134"/>
    </row>
    <row r="139" spans="1:34" ht="12.75">
      <c r="A139" s="14" t="s">
        <v>745</v>
      </c>
      <c r="B139" s="208">
        <v>2.1121617890151554</v>
      </c>
      <c r="C139" s="208"/>
      <c r="D139" s="208">
        <v>5</v>
      </c>
      <c r="E139" s="208"/>
      <c r="F139" s="208">
        <v>2.0065536995643978</v>
      </c>
      <c r="G139" s="208"/>
      <c r="H139" s="208">
        <v>14.465165583510986</v>
      </c>
      <c r="I139" s="208"/>
      <c r="J139" s="208">
        <v>1.716302384400342</v>
      </c>
      <c r="K139" s="208"/>
      <c r="L139" s="208">
        <v>31</v>
      </c>
      <c r="M139" s="208"/>
      <c r="N139" s="208">
        <v>13</v>
      </c>
      <c r="O139" s="208"/>
      <c r="P139" s="41">
        <f>0.01*54.4954680904278</f>
        <v>0.544954680904278</v>
      </c>
      <c r="Q139" s="208"/>
      <c r="R139" s="208">
        <v>0.9611293352641915</v>
      </c>
      <c r="S139" s="208"/>
      <c r="T139" s="208"/>
      <c r="U139" s="208"/>
      <c r="V139" s="208">
        <v>0.042131696888293324</v>
      </c>
      <c r="W139" s="208"/>
      <c r="X139" s="15">
        <v>1.1944125409346715</v>
      </c>
      <c r="Y139" s="15"/>
      <c r="Z139" s="15">
        <v>107</v>
      </c>
      <c r="AA139" s="15"/>
      <c r="AB139" s="473">
        <v>165</v>
      </c>
      <c r="AC139" s="15"/>
      <c r="AD139" s="15">
        <v>0.7745584356364235</v>
      </c>
      <c r="AE139" s="465">
        <f>Fruit!$D$28/Fruit!$B$28</f>
        <v>2.937396954834449</v>
      </c>
      <c r="AF139" s="477">
        <f t="shared" si="6"/>
        <v>3.508463760557581</v>
      </c>
      <c r="AG139" s="208">
        <v>2.064</v>
      </c>
      <c r="AH139" s="1134"/>
    </row>
    <row r="140" spans="1:34" ht="12.75">
      <c r="A140" s="14" t="s">
        <v>746</v>
      </c>
      <c r="B140" s="208">
        <v>1.1719170306795637</v>
      </c>
      <c r="C140" s="208"/>
      <c r="D140" s="208">
        <v>5.660377358490576</v>
      </c>
      <c r="E140" s="208"/>
      <c r="F140" s="208">
        <v>1.1055821044146825</v>
      </c>
      <c r="G140" s="208"/>
      <c r="H140" s="208">
        <v>6</v>
      </c>
      <c r="I140" s="208"/>
      <c r="J140" s="208">
        <v>1.0392471781498016</v>
      </c>
      <c r="K140" s="208"/>
      <c r="L140" s="208">
        <v>0</v>
      </c>
      <c r="M140" s="208"/>
      <c r="N140" s="208">
        <v>25</v>
      </c>
      <c r="O140" s="208"/>
      <c r="P140" s="41">
        <f>0.01*33.4905660377359</f>
        <v>0.334905660377359</v>
      </c>
      <c r="Q140" s="208"/>
      <c r="R140" s="208">
        <v>0.7794353836123512</v>
      </c>
      <c r="S140" s="208"/>
      <c r="T140" s="208"/>
      <c r="U140" s="208"/>
      <c r="V140" s="208">
        <v>0.03416703051451402</v>
      </c>
      <c r="W140" s="208"/>
      <c r="X140" s="15">
        <v>0.9686182315712152</v>
      </c>
      <c r="Y140" s="15"/>
      <c r="Z140" s="15">
        <v>164</v>
      </c>
      <c r="AA140" s="15"/>
      <c r="AB140" s="473">
        <v>140</v>
      </c>
      <c r="AC140" s="15"/>
      <c r="AD140" s="15">
        <v>1.134667071269138</v>
      </c>
      <c r="AE140" s="465">
        <f>Fruit!$D$28/Fruit!$B$28</f>
        <v>2.937396954834449</v>
      </c>
      <c r="AF140" s="477">
        <f t="shared" si="6"/>
        <v>2.8452162438144164</v>
      </c>
      <c r="AG140" s="208">
        <v>2.7342</v>
      </c>
      <c r="AH140" s="1134"/>
    </row>
    <row r="141" spans="1:34" ht="12.75">
      <c r="A141" s="339" t="s">
        <v>747</v>
      </c>
      <c r="B141" s="208">
        <v>0.4723065307554421</v>
      </c>
      <c r="C141" s="208"/>
      <c r="D141" s="208">
        <v>9</v>
      </c>
      <c r="E141" s="208"/>
      <c r="F141" s="208">
        <v>0.4297989429874523</v>
      </c>
      <c r="G141" s="208"/>
      <c r="H141" s="208">
        <v>12.655465353913275</v>
      </c>
      <c r="I141" s="208"/>
      <c r="J141" s="208">
        <v>0.3754058866661898</v>
      </c>
      <c r="K141" s="208"/>
      <c r="L141" s="208">
        <v>14</v>
      </c>
      <c r="M141" s="208"/>
      <c r="N141" s="208">
        <v>45</v>
      </c>
      <c r="O141" s="208"/>
      <c r="P141" s="41">
        <f>0.01*67.4117541235451</f>
        <v>0.674117541235451</v>
      </c>
      <c r="Q141" s="208"/>
      <c r="R141" s="208">
        <v>0.15391641353313784</v>
      </c>
      <c r="S141" s="208"/>
      <c r="T141" s="208"/>
      <c r="U141" s="208"/>
      <c r="V141" s="208">
        <v>0.006747020867206041</v>
      </c>
      <c r="W141" s="208"/>
      <c r="X141" s="42">
        <v>0.19127466807485766</v>
      </c>
      <c r="Y141" s="42"/>
      <c r="Z141" s="42">
        <v>108</v>
      </c>
      <c r="AA141" s="42"/>
      <c r="AB141" s="464">
        <v>177</v>
      </c>
      <c r="AC141" s="42"/>
      <c r="AD141" s="42">
        <v>0.1167099669609301</v>
      </c>
      <c r="AE141" s="472" t="s">
        <v>88</v>
      </c>
      <c r="AF141" s="478" t="s">
        <v>88</v>
      </c>
      <c r="AG141" s="498" t="s">
        <v>88</v>
      </c>
      <c r="AH141" s="498"/>
    </row>
    <row r="142" spans="1:34" ht="12.75">
      <c r="A142" s="233" t="s">
        <v>748</v>
      </c>
      <c r="B142" s="208">
        <v>1.0920541320844515</v>
      </c>
      <c r="C142" s="208"/>
      <c r="D142" s="208">
        <v>5</v>
      </c>
      <c r="E142" s="208"/>
      <c r="F142" s="208">
        <v>1.037451425480229</v>
      </c>
      <c r="G142" s="208"/>
      <c r="H142" s="208">
        <v>54.89067905605425</v>
      </c>
      <c r="I142" s="208"/>
      <c r="J142" s="208">
        <v>0.4679872931574166</v>
      </c>
      <c r="K142" s="208"/>
      <c r="L142" s="208">
        <v>33</v>
      </c>
      <c r="M142" s="208"/>
      <c r="N142" s="208">
        <v>20</v>
      </c>
      <c r="O142" s="208"/>
      <c r="P142" s="41">
        <f>0.01*79.8586881985282</f>
        <v>0.798586881985282</v>
      </c>
      <c r="Q142" s="208"/>
      <c r="R142" s="208">
        <v>0.21995402778398582</v>
      </c>
      <c r="S142" s="208"/>
      <c r="T142" s="208"/>
      <c r="U142" s="208"/>
      <c r="V142" s="208">
        <v>0.009641820396010334</v>
      </c>
      <c r="W142" s="208"/>
      <c r="X142" s="42">
        <v>0.273340787316695</v>
      </c>
      <c r="Y142" s="42"/>
      <c r="Z142" s="42">
        <v>59</v>
      </c>
      <c r="AA142" s="42"/>
      <c r="AB142" s="464">
        <v>152</v>
      </c>
      <c r="AC142" s="42"/>
      <c r="AD142" s="42">
        <v>0.10609938455055926</v>
      </c>
      <c r="AE142" s="472" t="s">
        <v>88</v>
      </c>
      <c r="AF142" s="478" t="s">
        <v>88</v>
      </c>
      <c r="AG142" s="498" t="s">
        <v>88</v>
      </c>
      <c r="AH142" s="498"/>
    </row>
    <row r="143" spans="1:34" ht="12.75">
      <c r="A143" s="233" t="s">
        <v>749</v>
      </c>
      <c r="B143" s="208">
        <v>0.2129376749392915</v>
      </c>
      <c r="C143" s="208"/>
      <c r="D143" s="208">
        <v>6.542056074766355</v>
      </c>
      <c r="E143" s="208"/>
      <c r="F143" s="208">
        <v>0.19900717284045935</v>
      </c>
      <c r="G143" s="208"/>
      <c r="H143" s="208">
        <v>6</v>
      </c>
      <c r="I143" s="208"/>
      <c r="J143" s="208">
        <v>0.18706674247003177</v>
      </c>
      <c r="K143" s="208"/>
      <c r="L143" s="208">
        <v>10</v>
      </c>
      <c r="M143" s="208"/>
      <c r="N143" s="208">
        <v>25</v>
      </c>
      <c r="O143" s="208"/>
      <c r="P143" s="41">
        <f>0.01*42.8971962616822</f>
        <v>0.42897196261682197</v>
      </c>
      <c r="Q143" s="208"/>
      <c r="R143" s="208">
        <v>0.12159338260552066</v>
      </c>
      <c r="S143" s="208"/>
      <c r="T143" s="208"/>
      <c r="U143" s="208"/>
      <c r="V143" s="208">
        <v>0.005330120881337892</v>
      </c>
      <c r="W143" s="208"/>
      <c r="X143" s="42">
        <v>0.15110626192548854</v>
      </c>
      <c r="Y143" s="42"/>
      <c r="Z143" s="42">
        <v>207</v>
      </c>
      <c r="AA143" s="42"/>
      <c r="AB143" s="464">
        <v>73.5</v>
      </c>
      <c r="AC143" s="42"/>
      <c r="AD143" s="42">
        <v>0.42556457440239637</v>
      </c>
      <c r="AE143" s="472" t="s">
        <v>88</v>
      </c>
      <c r="AF143" s="478" t="s">
        <v>88</v>
      </c>
      <c r="AG143" s="498" t="s">
        <v>88</v>
      </c>
      <c r="AH143" s="498"/>
    </row>
    <row r="144" spans="1:34" ht="12.75">
      <c r="A144" s="233" t="s">
        <v>750</v>
      </c>
      <c r="B144" s="208">
        <v>0.2550561603489133</v>
      </c>
      <c r="C144" s="208"/>
      <c r="D144" s="208">
        <v>65.98639455782313</v>
      </c>
      <c r="E144" s="208"/>
      <c r="F144" s="208">
        <v>0.08675379603704532</v>
      </c>
      <c r="G144" s="208"/>
      <c r="H144" s="208">
        <v>6</v>
      </c>
      <c r="I144" s="208"/>
      <c r="J144" s="208">
        <v>0.0815485682748226</v>
      </c>
      <c r="K144" s="208"/>
      <c r="L144" s="208">
        <v>0</v>
      </c>
      <c r="M144" s="208"/>
      <c r="N144" s="208">
        <v>25</v>
      </c>
      <c r="O144" s="208"/>
      <c r="P144" s="41">
        <f>0.01*76.0204081632653</f>
        <v>0.7602040816326531</v>
      </c>
      <c r="Q144" s="208"/>
      <c r="R144" s="208">
        <v>0.061161426206116934</v>
      </c>
      <c r="S144" s="208"/>
      <c r="T144" s="208"/>
      <c r="U144" s="208"/>
      <c r="V144" s="208">
        <v>0.0026810488199941673</v>
      </c>
      <c r="W144" s="208"/>
      <c r="X144" s="42">
        <v>0.07600639352242465</v>
      </c>
      <c r="Y144" s="42"/>
      <c r="Z144" s="42">
        <v>186</v>
      </c>
      <c r="AA144" s="42"/>
      <c r="AB144" s="464">
        <v>74.5</v>
      </c>
      <c r="AC144" s="42"/>
      <c r="AD144" s="42">
        <v>0.1897609287942414</v>
      </c>
      <c r="AE144" s="472" t="s">
        <v>88</v>
      </c>
      <c r="AF144" s="478" t="s">
        <v>88</v>
      </c>
      <c r="AG144" s="498" t="s">
        <v>88</v>
      </c>
      <c r="AH144" s="498"/>
    </row>
    <row r="145" spans="24:34" ht="12.75">
      <c r="X145" s="118"/>
      <c r="Y145" s="118"/>
      <c r="Z145" s="118"/>
      <c r="AA145" s="118"/>
      <c r="AB145" s="118"/>
      <c r="AC145" s="118"/>
      <c r="AD145" s="118"/>
      <c r="AF145" s="477"/>
      <c r="AG145" s="1134"/>
      <c r="AH145" s="1134"/>
    </row>
    <row r="146" spans="1:34" ht="12.75">
      <c r="A146" s="8" t="s">
        <v>751</v>
      </c>
      <c r="X146" s="468">
        <f>SUM(X147:X154)</f>
        <v>167.28540905979145</v>
      </c>
      <c r="Y146" s="468"/>
      <c r="Z146" s="468"/>
      <c r="AA146" s="468"/>
      <c r="AB146" s="468"/>
      <c r="AC146" s="468"/>
      <c r="AD146" s="468">
        <f>SUM(AD147:AD154)</f>
        <v>607.489721492114</v>
      </c>
      <c r="AE146" s="469"/>
      <c r="AF146" s="476">
        <f>SUM(AF147:AF154)</f>
        <v>165.89186540418984</v>
      </c>
      <c r="AG146" s="1136">
        <f>SUM(AG147:AG154)</f>
        <v>590.5479333333334</v>
      </c>
      <c r="AH146" s="1136"/>
    </row>
    <row r="147" spans="1:34" ht="12.75">
      <c r="A147" s="14" t="s">
        <v>752</v>
      </c>
      <c r="X147" s="265">
        <f>118.901699846332*0.85</f>
        <v>101.0664448693822</v>
      </c>
      <c r="Y147" s="265"/>
      <c r="Z147" s="265"/>
      <c r="AA147" s="265"/>
      <c r="AB147" s="42"/>
      <c r="AC147" s="265"/>
      <c r="AD147" s="17">
        <f>X147*(364/100)</f>
        <v>367.8818593245512</v>
      </c>
      <c r="AE147" s="42"/>
      <c r="AF147" s="963">
        <f>Grain!E7*(GrainCurrent!V9/GrainCurrent!AD9)</f>
        <v>59.27748831304974</v>
      </c>
      <c r="AG147" s="208">
        <v>215.77920000000003</v>
      </c>
      <c r="AH147" s="1137"/>
    </row>
    <row r="148" spans="1:34" ht="12.75">
      <c r="A148" s="34" t="s">
        <v>581</v>
      </c>
      <c r="X148" s="523">
        <f>118.901699846332*0.15</f>
        <v>17.8352549769498</v>
      </c>
      <c r="Y148" s="265"/>
      <c r="Z148" s="265"/>
      <c r="AA148" s="265"/>
      <c r="AB148" s="265"/>
      <c r="AC148" s="265"/>
      <c r="AD148" s="271">
        <f>X148*(340/100)</f>
        <v>60.63986692162931</v>
      </c>
      <c r="AE148" s="42"/>
      <c r="AF148" s="963">
        <f>Grain!E8*(GrainCurrent!V9/GrainCurrent!AD9)</f>
        <v>59.27748831304974</v>
      </c>
      <c r="AG148" s="208">
        <v>201.55200000000002</v>
      </c>
      <c r="AH148" s="1137"/>
    </row>
    <row r="149" spans="1:34" ht="12.75">
      <c r="A149" s="14" t="s">
        <v>574</v>
      </c>
      <c r="X149" s="17">
        <v>28.5908606527123</v>
      </c>
      <c r="Y149" s="17"/>
      <c r="Z149" s="17"/>
      <c r="AA149" s="17"/>
      <c r="AB149" s="17"/>
      <c r="AC149" s="17"/>
      <c r="AD149" s="17">
        <v>106.05135328919125</v>
      </c>
      <c r="AE149" s="42"/>
      <c r="AF149" s="963">
        <f>Grain!E9*(GrainCurrent!V11/GrainCurrent!AD11)</f>
        <v>28.50748829312848</v>
      </c>
      <c r="AG149" s="208">
        <v>103.87143333333333</v>
      </c>
      <c r="AH149" s="1137"/>
    </row>
    <row r="150" spans="1:34" ht="12.75">
      <c r="A150" s="14" t="s">
        <v>753</v>
      </c>
      <c r="X150" s="265">
        <f>15.4955502204943*0.85</f>
        <v>13.171217687420155</v>
      </c>
      <c r="Y150" s="265"/>
      <c r="Z150" s="265">
        <v>103</v>
      </c>
      <c r="AA150" s="265"/>
      <c r="AB150" s="265">
        <v>28.3495</v>
      </c>
      <c r="AC150" s="265"/>
      <c r="AD150" s="17">
        <f>X150*(370/100)</f>
        <v>48.733505443454575</v>
      </c>
      <c r="AE150" s="42"/>
      <c r="AF150" s="964">
        <f>Grain!E10*(GrainCurrent!V12/GrainCurrent!AD12)</f>
        <v>7.725182215954382</v>
      </c>
      <c r="AG150" s="208">
        <v>27.9053</v>
      </c>
      <c r="AH150" s="1137"/>
    </row>
    <row r="151" spans="1:34" ht="12.75">
      <c r="A151" s="34" t="s">
        <v>576</v>
      </c>
      <c r="X151" s="523">
        <f>15.4955502204943*0.15</f>
        <v>2.324332533074145</v>
      </c>
      <c r="Y151" s="265"/>
      <c r="Z151" s="265"/>
      <c r="AA151" s="265"/>
      <c r="AB151" s="265"/>
      <c r="AC151" s="265"/>
      <c r="AD151" s="271">
        <f>X151*(362/100)</f>
        <v>8.414083769728405</v>
      </c>
      <c r="AE151" s="42"/>
      <c r="AF151" s="964">
        <f>Grain!E11*(GrainCurrent!V12/GrainCurrent!AD12)</f>
        <v>7.725182215954382</v>
      </c>
      <c r="AG151" s="208">
        <v>28.291800000000002</v>
      </c>
      <c r="AH151" s="1137"/>
    </row>
    <row r="152" spans="1:34" ht="12.75">
      <c r="A152" s="14" t="s">
        <v>577</v>
      </c>
      <c r="X152" s="17">
        <v>3.388918305953317</v>
      </c>
      <c r="Y152" s="17"/>
      <c r="Z152" s="17">
        <v>105</v>
      </c>
      <c r="AA152" s="17"/>
      <c r="AB152" s="17">
        <v>28.3495</v>
      </c>
      <c r="AC152" s="17"/>
      <c r="AD152" s="17">
        <v>12.551770652925034</v>
      </c>
      <c r="AE152" s="42"/>
      <c r="AF152" s="964">
        <f>Grain!E12*(GrainCurrent!V14/GrainCurrent!AD14)</f>
        <v>3.3790360530531247</v>
      </c>
      <c r="AG152" s="208">
        <v>13.1482</v>
      </c>
      <c r="AH152" s="1137"/>
    </row>
    <row r="153" spans="1:34" ht="12.75">
      <c r="A153" s="233" t="s">
        <v>578</v>
      </c>
      <c r="B153" s="233"/>
      <c r="C153" s="233"/>
      <c r="D153" s="233"/>
      <c r="E153" s="233"/>
      <c r="F153" s="233"/>
      <c r="G153" s="233"/>
      <c r="H153" s="233"/>
      <c r="I153" s="233"/>
      <c r="J153" s="233"/>
      <c r="K153" s="233"/>
      <c r="L153" s="233"/>
      <c r="M153" s="233"/>
      <c r="N153" s="233"/>
      <c r="O153" s="233"/>
      <c r="P153" s="233"/>
      <c r="Q153" s="233"/>
      <c r="R153" s="233"/>
      <c r="S153" s="233"/>
      <c r="T153" s="233"/>
      <c r="U153" s="233"/>
      <c r="V153" s="233"/>
      <c r="W153" s="233"/>
      <c r="X153" s="470">
        <v>0.4856512791406291</v>
      </c>
      <c r="Y153" s="475"/>
      <c r="Z153" s="474">
        <v>100</v>
      </c>
      <c r="AA153" s="475"/>
      <c r="AB153" s="474">
        <v>28.3495</v>
      </c>
      <c r="AC153" s="475"/>
      <c r="AD153" s="474">
        <v>1.7130858714990709</v>
      </c>
      <c r="AE153" s="472" t="s">
        <v>88</v>
      </c>
      <c r="AF153" s="965" t="s">
        <v>88</v>
      </c>
      <c r="AG153" s="1138" t="s">
        <v>88</v>
      </c>
      <c r="AH153" s="1138"/>
    </row>
    <row r="154" spans="1:34" ht="12.75">
      <c r="A154" s="233" t="s">
        <v>579</v>
      </c>
      <c r="B154" s="233"/>
      <c r="C154" s="233"/>
      <c r="D154" s="233"/>
      <c r="E154" s="233"/>
      <c r="F154" s="233"/>
      <c r="G154" s="233"/>
      <c r="H154" s="233"/>
      <c r="I154" s="233"/>
      <c r="J154" s="233"/>
      <c r="K154" s="233"/>
      <c r="L154" s="233"/>
      <c r="M154" s="233"/>
      <c r="N154" s="233"/>
      <c r="O154" s="233"/>
      <c r="P154" s="233"/>
      <c r="Q154" s="233"/>
      <c r="R154" s="233"/>
      <c r="S154" s="233"/>
      <c r="T154" s="233"/>
      <c r="U154" s="233"/>
      <c r="V154" s="233"/>
      <c r="W154" s="233"/>
      <c r="X154" s="471">
        <v>0.42272875515891606</v>
      </c>
      <c r="Y154" s="475"/>
      <c r="Z154" s="475">
        <v>80</v>
      </c>
      <c r="AA154" s="475"/>
      <c r="AB154" s="475">
        <v>22.4826388888</v>
      </c>
      <c r="AC154" s="475"/>
      <c r="AD154" s="475">
        <v>1.504196219135125</v>
      </c>
      <c r="AE154" s="472" t="s">
        <v>88</v>
      </c>
      <c r="AF154" s="478" t="s">
        <v>88</v>
      </c>
      <c r="AG154" s="498" t="s">
        <v>88</v>
      </c>
      <c r="AH154" s="498"/>
    </row>
    <row r="155" spans="24:34" ht="12.75">
      <c r="X155" s="15"/>
      <c r="Y155" s="15"/>
      <c r="Z155" s="15"/>
      <c r="AA155" s="15"/>
      <c r="AB155" s="15"/>
      <c r="AC155" s="15"/>
      <c r="AD155" s="15"/>
      <c r="AE155" s="42"/>
      <c r="AF155" s="44"/>
      <c r="AG155" s="1134"/>
      <c r="AH155" s="1134"/>
    </row>
    <row r="156" spans="1:34" ht="12.75">
      <c r="A156" s="8" t="s">
        <v>138</v>
      </c>
      <c r="X156" s="468">
        <f>SUM(X157:X175)</f>
        <v>242.9153353301166</v>
      </c>
      <c r="Y156" s="468"/>
      <c r="Z156" s="468"/>
      <c r="AA156" s="468"/>
      <c r="AB156" s="468"/>
      <c r="AC156" s="468"/>
      <c r="AD156" s="468">
        <f>SUM(AD157:AD175)</f>
        <v>296.9411191368845</v>
      </c>
      <c r="AE156" s="469"/>
      <c r="AF156" s="490">
        <f>SUM(AF157:AF175)</f>
        <v>313.56509749028436</v>
      </c>
      <c r="AG156" s="1136">
        <f>SUM(AG157:AG175)</f>
        <v>249.3078445614035</v>
      </c>
      <c r="AH156" s="1136"/>
    </row>
    <row r="157" spans="1:34" ht="12.75">
      <c r="A157" s="34" t="s">
        <v>756</v>
      </c>
      <c r="X157" s="15">
        <v>44.51225402156856</v>
      </c>
      <c r="Y157" s="15"/>
      <c r="Z157" s="15"/>
      <c r="AA157" s="15"/>
      <c r="AB157" s="15"/>
      <c r="AC157" s="15"/>
      <c r="AD157" s="17">
        <v>26.634381504709058</v>
      </c>
      <c r="AE157" s="42"/>
      <c r="AF157" s="491" t="s">
        <v>88</v>
      </c>
      <c r="AG157" s="498" t="s">
        <v>88</v>
      </c>
      <c r="AH157" s="498"/>
    </row>
    <row r="158" spans="1:34" ht="12.75">
      <c r="A158" s="283" t="s">
        <v>757</v>
      </c>
      <c r="X158" s="15">
        <v>53.42030531178146</v>
      </c>
      <c r="Y158" s="15"/>
      <c r="Z158" s="15"/>
      <c r="AA158" s="15"/>
      <c r="AB158" s="15"/>
      <c r="AC158" s="15"/>
      <c r="AD158" s="17">
        <v>26.71015265589073</v>
      </c>
      <c r="AE158" s="42"/>
      <c r="AF158" s="491" t="s">
        <v>88</v>
      </c>
      <c r="AG158" s="498" t="s">
        <v>88</v>
      </c>
      <c r="AH158" s="498"/>
    </row>
    <row r="159" spans="1:34" ht="12.75">
      <c r="A159" s="283" t="s">
        <v>758</v>
      </c>
      <c r="X159" s="15">
        <v>19.664849702453335</v>
      </c>
      <c r="Y159" s="15"/>
      <c r="Z159" s="15"/>
      <c r="AA159" s="15"/>
      <c r="AB159" s="15"/>
      <c r="AC159" s="15"/>
      <c r="AD159" s="17">
        <v>8.220551924796066</v>
      </c>
      <c r="AE159" s="42"/>
      <c r="AF159" s="492">
        <f>Dairy!D13*DairyCurrent!AB14</f>
        <v>244</v>
      </c>
      <c r="AG159" s="208">
        <v>102.48</v>
      </c>
      <c r="AH159" s="1134"/>
    </row>
    <row r="160" spans="1:34" ht="12.75">
      <c r="A160" s="283" t="s">
        <v>759</v>
      </c>
      <c r="X160" s="15">
        <v>23.63710222779861</v>
      </c>
      <c r="Y160" s="15"/>
      <c r="Z160" s="15"/>
      <c r="AA160" s="15"/>
      <c r="AB160" s="15"/>
      <c r="AC160" s="15"/>
      <c r="AD160" s="17">
        <v>8.007671366968511</v>
      </c>
      <c r="AE160" s="42"/>
      <c r="AF160" s="491" t="s">
        <v>88</v>
      </c>
      <c r="AG160" s="498" t="s">
        <v>88</v>
      </c>
      <c r="AH160" s="498"/>
    </row>
    <row r="161" spans="1:34" ht="12.75">
      <c r="A161" s="284" t="s">
        <v>594</v>
      </c>
      <c r="X161" s="15">
        <v>8.81071177735808</v>
      </c>
      <c r="Y161" s="15"/>
      <c r="Z161" s="15"/>
      <c r="AA161" s="15"/>
      <c r="AB161" s="15"/>
      <c r="AC161" s="15"/>
      <c r="AD161" s="17">
        <v>5.814425535336777</v>
      </c>
      <c r="AE161" s="42"/>
      <c r="AF161" s="491" t="s">
        <v>88</v>
      </c>
      <c r="AG161" s="498" t="s">
        <v>88</v>
      </c>
      <c r="AH161" s="498"/>
    </row>
    <row r="162" spans="1:34" ht="12.75">
      <c r="A162" s="284" t="s">
        <v>257</v>
      </c>
      <c r="X162" s="15">
        <v>10.424731356342647</v>
      </c>
      <c r="Y162" s="15"/>
      <c r="Z162" s="15"/>
      <c r="AA162" s="15"/>
      <c r="AB162" s="15"/>
      <c r="AC162" s="15"/>
      <c r="AD162" s="15">
        <v>6.33750188182945</v>
      </c>
      <c r="AE162" s="42"/>
      <c r="AF162" s="959">
        <f>Dairy!D14*DairyCurrent!AB20</f>
        <v>22.700000000000003</v>
      </c>
      <c r="AG162" s="275">
        <v>15.03875</v>
      </c>
      <c r="AH162" s="1134"/>
    </row>
    <row r="163" spans="1:34" ht="12.75">
      <c r="A163" s="284" t="s">
        <v>596</v>
      </c>
      <c r="X163" s="15">
        <v>1.5224815069567188</v>
      </c>
      <c r="Y163" s="15"/>
      <c r="Z163" s="15"/>
      <c r="AA163" s="15"/>
      <c r="AB163" s="15"/>
      <c r="AC163" s="15"/>
      <c r="AD163" s="15">
        <v>0.6089926027826875</v>
      </c>
      <c r="AE163" s="42"/>
      <c r="AF163" s="959">
        <f>Dairy!D17*DairyCurrent!AB19</f>
        <v>6.50946213163978</v>
      </c>
      <c r="AG163" s="208">
        <v>2.6039999999999996</v>
      </c>
      <c r="AH163" s="1134"/>
    </row>
    <row r="164" spans="1:34" ht="12.75">
      <c r="A164" s="284" t="s">
        <v>50</v>
      </c>
      <c r="X164" s="15">
        <v>27.39352511151704</v>
      </c>
      <c r="Y164" s="15"/>
      <c r="Z164" s="15"/>
      <c r="AA164" s="15"/>
      <c r="AB164" s="15"/>
      <c r="AC164" s="15"/>
      <c r="AD164" s="15">
        <v>97.75020656122838</v>
      </c>
      <c r="AE164" s="42"/>
      <c r="AF164" s="959">
        <f>Dairy!D18*DairyCurrent!AB22</f>
        <v>13.239837967873273</v>
      </c>
      <c r="AG164" s="1134">
        <v>42.464694561403505</v>
      </c>
      <c r="AH164" s="1134"/>
    </row>
    <row r="165" spans="1:33" ht="12.75">
      <c r="A165" s="284" t="s">
        <v>47</v>
      </c>
      <c r="X165" s="15">
        <v>18.375860774267455</v>
      </c>
      <c r="Y165" s="15"/>
      <c r="Z165" s="15"/>
      <c r="AA165" s="15"/>
      <c r="AB165" s="15"/>
      <c r="AC165" s="15"/>
      <c r="AD165" s="15">
        <v>34.87533658533569</v>
      </c>
      <c r="AE165" s="42"/>
      <c r="AF165" s="959">
        <f>Dairy!D15*DairyCurrent!AB24</f>
        <v>21.599999999999998</v>
      </c>
      <c r="AG165" s="208">
        <v>47.14200000000001</v>
      </c>
    </row>
    <row r="166" spans="1:34" ht="12.75">
      <c r="A166" s="284" t="s">
        <v>49</v>
      </c>
      <c r="X166" s="15">
        <v>3.6408662220775008</v>
      </c>
      <c r="Y166" s="15"/>
      <c r="Z166" s="15"/>
      <c r="AA166" s="15"/>
      <c r="AB166" s="15"/>
      <c r="AC166" s="15"/>
      <c r="AD166" s="15">
        <v>26.214236798958005</v>
      </c>
      <c r="AE166" s="42"/>
      <c r="AF166" s="959">
        <f>Dairy!D16*28.3495</f>
        <v>5.515797390771304</v>
      </c>
      <c r="AG166" s="1134">
        <v>39.578399999999995</v>
      </c>
      <c r="AH166" s="1134"/>
    </row>
    <row r="167" spans="1:34" ht="12.75">
      <c r="A167" s="234" t="s">
        <v>766</v>
      </c>
      <c r="B167" s="233"/>
      <c r="C167" s="233"/>
      <c r="D167" s="233"/>
      <c r="E167" s="233"/>
      <c r="F167" s="233"/>
      <c r="G167" s="233"/>
      <c r="H167" s="233"/>
      <c r="I167" s="233"/>
      <c r="J167" s="233"/>
      <c r="K167" s="233"/>
      <c r="L167" s="233"/>
      <c r="M167" s="233"/>
      <c r="N167" s="233"/>
      <c r="O167" s="233"/>
      <c r="P167" s="233"/>
      <c r="Q167" s="233"/>
      <c r="R167" s="233"/>
      <c r="S167" s="233"/>
      <c r="T167" s="233"/>
      <c r="U167" s="233"/>
      <c r="V167" s="233"/>
      <c r="W167" s="233"/>
      <c r="X167" s="475">
        <f>DairyCurrent!X29</f>
        <v>6.638515051169806</v>
      </c>
      <c r="Y167" s="475"/>
      <c r="Z167" s="475"/>
      <c r="AA167" s="475"/>
      <c r="AB167" s="475"/>
      <c r="AC167" s="475"/>
      <c r="AD167" s="475">
        <f>DairyCurrent!AD29</f>
        <v>6.289234034272532</v>
      </c>
      <c r="AE167" s="42"/>
      <c r="AF167" s="478" t="s">
        <v>88</v>
      </c>
      <c r="AG167" s="498" t="s">
        <v>88</v>
      </c>
      <c r="AH167" s="498"/>
    </row>
    <row r="168" spans="1:34" ht="12.75">
      <c r="A168" s="234" t="s">
        <v>606</v>
      </c>
      <c r="B168" s="233"/>
      <c r="C168" s="233"/>
      <c r="D168" s="233"/>
      <c r="E168" s="233"/>
      <c r="F168" s="233"/>
      <c r="G168" s="233"/>
      <c r="H168" s="233"/>
      <c r="I168" s="233"/>
      <c r="J168" s="233"/>
      <c r="K168" s="233"/>
      <c r="L168" s="233"/>
      <c r="M168" s="233"/>
      <c r="N168" s="233"/>
      <c r="O168" s="233"/>
      <c r="P168" s="233"/>
      <c r="Q168" s="233"/>
      <c r="R168" s="233"/>
      <c r="S168" s="233"/>
      <c r="T168" s="233"/>
      <c r="U168" s="233"/>
      <c r="V168" s="233"/>
      <c r="W168" s="233"/>
      <c r="X168" s="475">
        <f>DairyCurrent!X34</f>
        <v>2.63483091803004</v>
      </c>
      <c r="Y168" s="475"/>
      <c r="Z168" s="475"/>
      <c r="AA168" s="475"/>
      <c r="AB168" s="475"/>
      <c r="AC168" s="475"/>
      <c r="AD168" s="475">
        <f>DairyCurrent!AD34</f>
        <v>9.720373672944614</v>
      </c>
      <c r="AE168" s="42"/>
      <c r="AF168" s="478" t="s">
        <v>88</v>
      </c>
      <c r="AG168" s="498" t="s">
        <v>88</v>
      </c>
      <c r="AH168" s="498"/>
    </row>
    <row r="169" spans="1:34" ht="12.75">
      <c r="A169" s="234" t="s">
        <v>613</v>
      </c>
      <c r="B169" s="233"/>
      <c r="C169" s="233"/>
      <c r="D169" s="233"/>
      <c r="E169" s="233"/>
      <c r="F169" s="233"/>
      <c r="G169" s="233"/>
      <c r="H169" s="233"/>
      <c r="I169" s="233"/>
      <c r="J169" s="233"/>
      <c r="K169" s="233"/>
      <c r="L169" s="233"/>
      <c r="M169" s="233"/>
      <c r="N169" s="233"/>
      <c r="O169" s="233"/>
      <c r="P169" s="233"/>
      <c r="Q169" s="233"/>
      <c r="R169" s="233"/>
      <c r="S169" s="233"/>
      <c r="T169" s="233"/>
      <c r="U169" s="233"/>
      <c r="V169" s="233"/>
      <c r="W169" s="233"/>
      <c r="X169" s="475">
        <f>DairyCurrent!X43</f>
        <v>2.2313040428178934</v>
      </c>
      <c r="Y169" s="475"/>
      <c r="Z169" s="475"/>
      <c r="AA169" s="475"/>
      <c r="AB169" s="475"/>
      <c r="AC169" s="475"/>
      <c r="AD169" s="475">
        <f>DairyCurrent!AD43</f>
        <v>1.758697131041385</v>
      </c>
      <c r="AE169" s="42"/>
      <c r="AF169" s="478" t="s">
        <v>88</v>
      </c>
      <c r="AG169" s="498" t="s">
        <v>88</v>
      </c>
      <c r="AH169" s="498"/>
    </row>
    <row r="170" spans="1:34" ht="12.75">
      <c r="A170" s="489" t="s">
        <v>765</v>
      </c>
      <c r="B170" s="233"/>
      <c r="C170" s="233"/>
      <c r="D170" s="233"/>
      <c r="E170" s="233"/>
      <c r="F170" s="233"/>
      <c r="G170" s="233"/>
      <c r="H170" s="233"/>
      <c r="I170" s="233"/>
      <c r="J170" s="233"/>
      <c r="K170" s="233"/>
      <c r="L170" s="233"/>
      <c r="M170" s="233"/>
      <c r="N170" s="233"/>
      <c r="O170" s="233"/>
      <c r="P170" s="233"/>
      <c r="Q170" s="233"/>
      <c r="R170" s="233"/>
      <c r="S170" s="233"/>
      <c r="T170" s="233"/>
      <c r="U170" s="233"/>
      <c r="V170" s="233"/>
      <c r="W170" s="233"/>
      <c r="X170" s="475">
        <v>3.3712742103255238</v>
      </c>
      <c r="Y170" s="475"/>
      <c r="Z170" s="475"/>
      <c r="AA170" s="475"/>
      <c r="AB170" s="475"/>
      <c r="AC170" s="475"/>
      <c r="AD170" s="475">
        <v>3.489268807686918</v>
      </c>
      <c r="AE170" s="42"/>
      <c r="AF170" s="478" t="s">
        <v>88</v>
      </c>
      <c r="AG170" s="498" t="s">
        <v>88</v>
      </c>
      <c r="AH170" s="498"/>
    </row>
    <row r="171" spans="1:34" ht="12.75">
      <c r="A171" s="489" t="s">
        <v>638</v>
      </c>
      <c r="B171" s="233"/>
      <c r="C171" s="233"/>
      <c r="D171" s="233"/>
      <c r="E171" s="233"/>
      <c r="F171" s="233"/>
      <c r="G171" s="233"/>
      <c r="H171" s="233"/>
      <c r="I171" s="233"/>
      <c r="J171" s="233"/>
      <c r="K171" s="233"/>
      <c r="L171" s="233"/>
      <c r="M171" s="233"/>
      <c r="N171" s="233"/>
      <c r="O171" s="233"/>
      <c r="P171" s="233"/>
      <c r="Q171" s="233"/>
      <c r="R171" s="233"/>
      <c r="S171" s="233"/>
      <c r="T171" s="233"/>
      <c r="U171" s="233"/>
      <c r="V171" s="233"/>
      <c r="W171" s="233"/>
      <c r="X171" s="475">
        <v>7.73862541206523</v>
      </c>
      <c r="Y171" s="475"/>
      <c r="Z171" s="475"/>
      <c r="AA171" s="475"/>
      <c r="AB171" s="475"/>
      <c r="AC171" s="475"/>
      <c r="AD171" s="475">
        <v>13.441992340757304</v>
      </c>
      <c r="AE171" s="42"/>
      <c r="AF171" s="478" t="s">
        <v>88</v>
      </c>
      <c r="AG171" s="498" t="s">
        <v>88</v>
      </c>
      <c r="AH171" s="498"/>
    </row>
    <row r="172" spans="1:34" ht="12.75">
      <c r="A172" s="489" t="s">
        <v>639</v>
      </c>
      <c r="B172" s="233"/>
      <c r="C172" s="233"/>
      <c r="D172" s="233"/>
      <c r="E172" s="233"/>
      <c r="F172" s="233"/>
      <c r="G172" s="233"/>
      <c r="H172" s="233"/>
      <c r="I172" s="233"/>
      <c r="J172" s="233"/>
      <c r="K172" s="233"/>
      <c r="L172" s="233"/>
      <c r="M172" s="233"/>
      <c r="N172" s="233"/>
      <c r="O172" s="233"/>
      <c r="P172" s="233"/>
      <c r="Q172" s="233"/>
      <c r="R172" s="233"/>
      <c r="S172" s="233"/>
      <c r="T172" s="233"/>
      <c r="U172" s="233"/>
      <c r="V172" s="233"/>
      <c r="W172" s="233"/>
      <c r="X172" s="475">
        <v>2.1421470442051245</v>
      </c>
      <c r="Y172" s="475"/>
      <c r="Z172" s="475"/>
      <c r="AA172" s="475"/>
      <c r="AB172" s="475"/>
      <c r="AC172" s="475"/>
      <c r="AD172" s="475">
        <v>7.133349657203064</v>
      </c>
      <c r="AE172" s="42"/>
      <c r="AF172" s="478" t="s">
        <v>88</v>
      </c>
      <c r="AG172" s="498" t="s">
        <v>88</v>
      </c>
      <c r="AH172" s="498"/>
    </row>
    <row r="173" spans="1:34" ht="12.75">
      <c r="A173" s="489" t="s">
        <v>640</v>
      </c>
      <c r="B173" s="233"/>
      <c r="C173" s="233"/>
      <c r="D173" s="233"/>
      <c r="E173" s="233"/>
      <c r="F173" s="233"/>
      <c r="G173" s="233"/>
      <c r="H173" s="233"/>
      <c r="I173" s="233"/>
      <c r="J173" s="233"/>
      <c r="K173" s="233"/>
      <c r="L173" s="233"/>
      <c r="M173" s="233"/>
      <c r="N173" s="233"/>
      <c r="O173" s="233"/>
      <c r="P173" s="233"/>
      <c r="Q173" s="233"/>
      <c r="R173" s="233"/>
      <c r="S173" s="233"/>
      <c r="T173" s="233"/>
      <c r="U173" s="233"/>
      <c r="V173" s="233"/>
      <c r="W173" s="233"/>
      <c r="X173" s="475">
        <v>4.223779265355832</v>
      </c>
      <c r="Y173" s="475"/>
      <c r="Z173" s="475"/>
      <c r="AA173" s="475"/>
      <c r="AB173" s="475"/>
      <c r="AC173" s="475"/>
      <c r="AD173" s="475">
        <v>7.1179339368739765</v>
      </c>
      <c r="AE173" s="42"/>
      <c r="AF173" s="478" t="s">
        <v>88</v>
      </c>
      <c r="AG173" s="498" t="s">
        <v>88</v>
      </c>
      <c r="AH173" s="498"/>
    </row>
    <row r="174" spans="1:34" ht="12.75">
      <c r="A174" s="489" t="s">
        <v>641</v>
      </c>
      <c r="B174" s="233"/>
      <c r="C174" s="233"/>
      <c r="D174" s="233"/>
      <c r="E174" s="233"/>
      <c r="F174" s="233"/>
      <c r="G174" s="233"/>
      <c r="H174" s="233"/>
      <c r="I174" s="233"/>
      <c r="J174" s="233"/>
      <c r="K174" s="233"/>
      <c r="L174" s="233"/>
      <c r="M174" s="233"/>
      <c r="N174" s="233"/>
      <c r="O174" s="233"/>
      <c r="P174" s="233"/>
      <c r="Q174" s="233"/>
      <c r="R174" s="233"/>
      <c r="S174" s="233"/>
      <c r="T174" s="233"/>
      <c r="U174" s="233"/>
      <c r="V174" s="233"/>
      <c r="W174" s="233"/>
      <c r="X174" s="475">
        <v>2.382262544840981</v>
      </c>
      <c r="Y174" s="475"/>
      <c r="Z174" s="475"/>
      <c r="AA174" s="475"/>
      <c r="AB174" s="475"/>
      <c r="AC174" s="475"/>
      <c r="AD174" s="475">
        <v>6.715893514462287</v>
      </c>
      <c r="AE174" s="42"/>
      <c r="AF174" s="478" t="s">
        <v>88</v>
      </c>
      <c r="AG174" s="498" t="s">
        <v>88</v>
      </c>
      <c r="AH174" s="498"/>
    </row>
    <row r="175" spans="1:34" ht="12.75">
      <c r="A175" s="489" t="s">
        <v>642</v>
      </c>
      <c r="B175" s="233"/>
      <c r="C175" s="233"/>
      <c r="D175" s="233"/>
      <c r="E175" s="233"/>
      <c r="F175" s="233"/>
      <c r="G175" s="233"/>
      <c r="H175" s="233"/>
      <c r="I175" s="233"/>
      <c r="J175" s="233"/>
      <c r="K175" s="233"/>
      <c r="L175" s="233"/>
      <c r="M175" s="233"/>
      <c r="N175" s="233"/>
      <c r="O175" s="233"/>
      <c r="P175" s="233"/>
      <c r="Q175" s="233"/>
      <c r="R175" s="233"/>
      <c r="S175" s="233"/>
      <c r="T175" s="233"/>
      <c r="U175" s="233"/>
      <c r="V175" s="233"/>
      <c r="W175" s="233"/>
      <c r="X175" s="471">
        <v>0.14990882918467807</v>
      </c>
      <c r="Y175" s="471"/>
      <c r="Z175" s="471"/>
      <c r="AA175" s="471"/>
      <c r="AB175" s="471"/>
      <c r="AC175" s="471"/>
      <c r="AD175" s="471">
        <v>0.10091862380712528</v>
      </c>
      <c r="AE175" s="42"/>
      <c r="AF175" s="478" t="s">
        <v>88</v>
      </c>
      <c r="AG175" s="498" t="s">
        <v>88</v>
      </c>
      <c r="AH175" s="498"/>
    </row>
    <row r="176" spans="24:34" ht="12.75">
      <c r="X176" s="15"/>
      <c r="Y176" s="15"/>
      <c r="Z176" s="15"/>
      <c r="AA176" s="15"/>
      <c r="AB176" s="15"/>
      <c r="AC176" s="15"/>
      <c r="AD176" s="15"/>
      <c r="AE176" s="42"/>
      <c r="AF176" s="44"/>
      <c r="AG176" s="1134"/>
      <c r="AH176" s="1134"/>
    </row>
    <row r="177" spans="1:34" ht="12.75">
      <c r="A177" s="8" t="s">
        <v>755</v>
      </c>
      <c r="X177" s="481">
        <f>SUM(X178:X193)</f>
        <v>213.1539772522084</v>
      </c>
      <c r="Y177" s="481"/>
      <c r="Z177" s="481"/>
      <c r="AA177" s="481"/>
      <c r="AB177" s="481"/>
      <c r="AC177" s="481"/>
      <c r="AD177" s="481">
        <f>SUM(AD178:AD193)</f>
        <v>552.1365230432428</v>
      </c>
      <c r="AE177" s="482"/>
      <c r="AF177" s="983">
        <f>SUM(AF178:AF193)</f>
        <v>157.18703692981288</v>
      </c>
      <c r="AG177" s="1136">
        <f>SUM(AG178:AG193)</f>
        <v>403.1947</v>
      </c>
      <c r="AH177" s="1136"/>
    </row>
    <row r="178" spans="1:34" ht="12.75">
      <c r="A178" s="14" t="s">
        <v>54</v>
      </c>
      <c r="X178" s="18">
        <v>57.186245838679845</v>
      </c>
      <c r="Y178" s="18"/>
      <c r="Z178" s="18"/>
      <c r="AA178" s="18"/>
      <c r="AB178" s="18"/>
      <c r="AC178" s="18"/>
      <c r="AD178" s="18">
        <v>173.29381594962484</v>
      </c>
      <c r="AE178" s="42"/>
      <c r="AF178" s="974">
        <f>Protein!D8*(ProteinCurrent!V9/ProteinCurrent!T9)</f>
        <v>15.559798402728662</v>
      </c>
      <c r="AG178" s="208">
        <v>106.148</v>
      </c>
      <c r="AH178" s="1134"/>
    </row>
    <row r="179" spans="1:34" ht="12.75">
      <c r="A179" s="14" t="s">
        <v>55</v>
      </c>
      <c r="X179" s="18">
        <v>0.6546845040243008</v>
      </c>
      <c r="Y179" s="18"/>
      <c r="Z179" s="18"/>
      <c r="AA179" s="18"/>
      <c r="AB179" s="18"/>
      <c r="AC179" s="18"/>
      <c r="AD179" s="18">
        <v>1.9860268204409202</v>
      </c>
      <c r="AE179" s="42"/>
      <c r="AF179" s="974">
        <f>Protein!D9*(ProteinCurrent!V12/ProteinCurrent!T12)</f>
        <v>2.4299571428571425</v>
      </c>
      <c r="AG179" s="208">
        <v>8.796600000000002</v>
      </c>
      <c r="AH179" s="1134"/>
    </row>
    <row r="180" spans="1:34" ht="12.75">
      <c r="A180" s="14" t="s">
        <v>56</v>
      </c>
      <c r="X180" s="18">
        <v>38.823009840753514</v>
      </c>
      <c r="Y180" s="18"/>
      <c r="Z180" s="18"/>
      <c r="AA180" s="18"/>
      <c r="AB180" s="18"/>
      <c r="AC180" s="18"/>
      <c r="AD180" s="18">
        <v>105.44707164987112</v>
      </c>
      <c r="AE180" s="42"/>
      <c r="AF180" s="974">
        <f>Protein!D10*(ProteinCurrent!V13/ProteinCurrent!T13)</f>
        <v>17.009699999999995</v>
      </c>
      <c r="AG180" s="208">
        <v>30.3021</v>
      </c>
      <c r="AH180" s="1134"/>
    </row>
    <row r="181" spans="1:34" ht="12.75">
      <c r="A181" s="14" t="s">
        <v>59</v>
      </c>
      <c r="X181" s="18">
        <v>23.632304269674115</v>
      </c>
      <c r="Y181" s="18"/>
      <c r="Z181" s="18"/>
      <c r="AA181" s="18"/>
      <c r="AB181" s="18"/>
      <c r="AC181" s="18"/>
      <c r="AD181" s="18">
        <v>34.030518148330735</v>
      </c>
      <c r="AE181" s="42"/>
      <c r="AF181" s="46">
        <f>Protein!D11*50</f>
        <v>23.63230426967412</v>
      </c>
      <c r="AG181" s="208">
        <v>35.2087</v>
      </c>
      <c r="AH181" s="1134"/>
    </row>
    <row r="182" spans="1:34" ht="12.75">
      <c r="A182" s="14" t="s">
        <v>57</v>
      </c>
      <c r="X182" s="18">
        <v>59.54513030806508</v>
      </c>
      <c r="Y182" s="18"/>
      <c r="Z182" s="18"/>
      <c r="AA182" s="18"/>
      <c r="AB182" s="18"/>
      <c r="AC182" s="18"/>
      <c r="AD182" s="18">
        <v>138.62602868947587</v>
      </c>
      <c r="AE182" s="42"/>
      <c r="AF182" s="974">
        <f>Protein!D12*(ProteinCurrent!V15/ProteinCurrent!T15)</f>
        <v>59.54513030806508</v>
      </c>
      <c r="AG182" s="208">
        <v>114.73299999999999</v>
      </c>
      <c r="AH182" s="1134"/>
    </row>
    <row r="183" spans="1:34" ht="12.75">
      <c r="A183" s="14" t="s">
        <v>58</v>
      </c>
      <c r="X183" s="18">
        <v>10.478400020773567</v>
      </c>
      <c r="Y183" s="18"/>
      <c r="Z183" s="18"/>
      <c r="AA183" s="18"/>
      <c r="AB183" s="18"/>
      <c r="AC183" s="18"/>
      <c r="AD183" s="18">
        <v>21.437669137193488</v>
      </c>
      <c r="AE183" s="42"/>
      <c r="AF183" s="974">
        <f>Protein!D13*(ProteinCurrent!V15/ProteinCurrent!T15)</f>
        <v>10.478400020773565</v>
      </c>
      <c r="AG183" s="208">
        <v>16.663200000000003</v>
      </c>
      <c r="AH183" s="1137"/>
    </row>
    <row r="184" spans="1:34" ht="12.75">
      <c r="A184" s="14" t="s">
        <v>251</v>
      </c>
      <c r="X184" s="18">
        <v>12.049285842828834</v>
      </c>
      <c r="Y184" s="18"/>
      <c r="Z184" s="18"/>
      <c r="AA184" s="18"/>
      <c r="AB184" s="18"/>
      <c r="AC184" s="18"/>
      <c r="AD184" s="18">
        <v>14.378720060282737</v>
      </c>
      <c r="AE184" s="42"/>
      <c r="AF184" s="974">
        <f>Protein!D14*(ProteinCurrent!V17/ProteinCurrent!T17)</f>
        <v>16.199714285714286</v>
      </c>
      <c r="AG184" s="208">
        <v>22.747499999999995</v>
      </c>
      <c r="AH184" s="1134"/>
    </row>
    <row r="185" spans="1:34" ht="12.75">
      <c r="A185" s="14"/>
      <c r="X185" s="964" t="s">
        <v>665</v>
      </c>
      <c r="Y185" s="18"/>
      <c r="Z185" s="18"/>
      <c r="AA185" s="18"/>
      <c r="AB185" s="18"/>
      <c r="AC185" s="18"/>
      <c r="AD185" s="964" t="s">
        <v>665</v>
      </c>
      <c r="AE185" s="42"/>
      <c r="AF185" s="974"/>
      <c r="AG185" s="1134"/>
      <c r="AH185" s="1134"/>
    </row>
    <row r="186" spans="1:34" ht="12.75">
      <c r="A186" s="14"/>
      <c r="X186" s="964" t="s">
        <v>76</v>
      </c>
      <c r="Y186" s="76"/>
      <c r="Z186" s="76"/>
      <c r="AA186" s="76"/>
      <c r="AB186" s="76"/>
      <c r="AC186" s="76"/>
      <c r="AD186" s="964" t="s">
        <v>76</v>
      </c>
      <c r="AE186" s="42"/>
      <c r="AF186" s="974"/>
      <c r="AG186" s="1134"/>
      <c r="AH186" s="1134"/>
    </row>
    <row r="187" spans="1:34" ht="12.75">
      <c r="A187" s="14" t="s">
        <v>61</v>
      </c>
      <c r="X187" s="18">
        <v>7.321054921184361</v>
      </c>
      <c r="Y187" s="18"/>
      <c r="Z187" s="18"/>
      <c r="AA187" s="18"/>
      <c r="AB187" s="18"/>
      <c r="AC187" s="18"/>
      <c r="AD187" s="18">
        <v>41.31885173951914</v>
      </c>
      <c r="AE187" s="42"/>
      <c r="AF187" s="974">
        <f>Nuts!F14*28.3495</f>
        <v>7.37087</v>
      </c>
      <c r="AG187" s="208">
        <v>41.7879</v>
      </c>
      <c r="AH187" s="1137"/>
    </row>
    <row r="188" spans="1:34" ht="12.75">
      <c r="A188" s="14" t="s">
        <v>620</v>
      </c>
      <c r="X188" s="18">
        <v>1.21636033594582</v>
      </c>
      <c r="Y188" s="18"/>
      <c r="Z188" s="18"/>
      <c r="AA188" s="18"/>
      <c r="AB188" s="18"/>
      <c r="AC188" s="18"/>
      <c r="AD188" s="18">
        <v>7.036564845768515</v>
      </c>
      <c r="AE188" s="42"/>
      <c r="AF188" s="974">
        <f>Nuts!F7*28.3495</f>
        <v>1.742148444996297</v>
      </c>
      <c r="AG188" s="208">
        <v>9.6025</v>
      </c>
      <c r="AH188" s="1137"/>
    </row>
    <row r="189" spans="1:34" ht="12.75">
      <c r="A189" s="14" t="s">
        <v>623</v>
      </c>
      <c r="X189" s="958">
        <v>0.48042007673720494</v>
      </c>
      <c r="Y189" s="18"/>
      <c r="Z189" s="18"/>
      <c r="AA189" s="18"/>
      <c r="AB189" s="18"/>
      <c r="AC189" s="18"/>
      <c r="AD189" s="18">
        <v>3.1520179993693054</v>
      </c>
      <c r="AE189" s="42"/>
      <c r="AF189" s="974">
        <f>Nuts!F8*28.3495</f>
        <v>0.6880881141047037</v>
      </c>
      <c r="AG189" s="208">
        <v>4.5126</v>
      </c>
      <c r="AH189" s="1137"/>
    </row>
    <row r="190" spans="1:34" ht="12.75">
      <c r="A190" s="14" t="s">
        <v>622</v>
      </c>
      <c r="X190" s="958">
        <v>0.4650250044141527</v>
      </c>
      <c r="Y190" s="18"/>
      <c r="Z190" s="18"/>
      <c r="AA190" s="18"/>
      <c r="AB190" s="18"/>
      <c r="AC190" s="18"/>
      <c r="AD190" s="18">
        <v>3.215044387561471</v>
      </c>
      <c r="AE190" s="42"/>
      <c r="AF190" s="974">
        <f>Nuts!F9*28.3495</f>
        <v>0.66603831478487</v>
      </c>
      <c r="AG190" s="208">
        <v>4.837</v>
      </c>
      <c r="AH190" s="1137"/>
    </row>
    <row r="191" spans="1:34" ht="12.75">
      <c r="A191" s="14" t="s">
        <v>621</v>
      </c>
      <c r="X191" s="42"/>
      <c r="Y191" s="15"/>
      <c r="Z191" s="15"/>
      <c r="AA191" s="15"/>
      <c r="AB191" s="15"/>
      <c r="AC191" s="15"/>
      <c r="AD191" s="15"/>
      <c r="AE191" s="42"/>
      <c r="AF191" s="974">
        <f>Nuts!F10*28.3495</f>
        <v>0.968434093001246</v>
      </c>
      <c r="AG191" s="208">
        <v>6.0916</v>
      </c>
      <c r="AH191" s="1134"/>
    </row>
    <row r="192" spans="1:34" ht="12.75">
      <c r="A192" s="14" t="s">
        <v>993</v>
      </c>
      <c r="X192" s="42"/>
      <c r="Y192" s="15"/>
      <c r="Z192" s="15"/>
      <c r="AA192" s="15"/>
      <c r="AB192" s="15"/>
      <c r="AC192" s="15"/>
      <c r="AD192" s="15"/>
      <c r="AE192" s="42"/>
      <c r="AF192" s="974">
        <f>Nuts!F11*28.3495</f>
        <v>0.8964535331128837</v>
      </c>
      <c r="AG192" s="208">
        <v>1.764</v>
      </c>
      <c r="AH192" s="1134"/>
    </row>
    <row r="193" spans="1:34" ht="12.75">
      <c r="A193" s="233" t="s">
        <v>626</v>
      </c>
      <c r="B193" s="233"/>
      <c r="C193" s="233"/>
      <c r="D193" s="233"/>
      <c r="E193" s="233"/>
      <c r="F193" s="233"/>
      <c r="G193" s="233"/>
      <c r="H193" s="233"/>
      <c r="I193" s="233"/>
      <c r="J193" s="233"/>
      <c r="K193" s="233"/>
      <c r="L193" s="233"/>
      <c r="M193" s="233"/>
      <c r="N193" s="233"/>
      <c r="O193" s="233"/>
      <c r="P193" s="233"/>
      <c r="Q193" s="233"/>
      <c r="R193" s="233"/>
      <c r="S193" s="233"/>
      <c r="T193" s="233"/>
      <c r="U193" s="233"/>
      <c r="V193" s="233"/>
      <c r="W193" s="233"/>
      <c r="X193" s="475">
        <f>SUM(ProteinCurrent!V24:V27)</f>
        <v>1.3020562891276506</v>
      </c>
      <c r="Y193" s="475"/>
      <c r="Z193" s="475"/>
      <c r="AA193" s="475"/>
      <c r="AB193" s="475"/>
      <c r="AC193" s="475"/>
      <c r="AD193" s="475">
        <f>SUM(ProteinCurrent!AB24:AB27)</f>
        <v>8.214193615804769</v>
      </c>
      <c r="AE193" s="42"/>
      <c r="AF193" s="478" t="s">
        <v>88</v>
      </c>
      <c r="AG193" s="498" t="s">
        <v>88</v>
      </c>
      <c r="AH193" s="498"/>
    </row>
    <row r="194" spans="1:34" ht="12.75">
      <c r="A194" s="14"/>
      <c r="X194" s="15"/>
      <c r="Y194" s="15"/>
      <c r="Z194" s="15"/>
      <c r="AA194" s="15"/>
      <c r="AB194" s="15"/>
      <c r="AC194" s="15"/>
      <c r="AD194" s="15"/>
      <c r="AE194" s="42"/>
      <c r="AF194" s="44"/>
      <c r="AG194" s="1134"/>
      <c r="AH194" s="1134"/>
    </row>
    <row r="195" spans="1:34" ht="12.75">
      <c r="A195" s="8" t="s">
        <v>775</v>
      </c>
      <c r="X195" s="481">
        <f>SUM(X196:X201)</f>
        <v>59.19694924885202</v>
      </c>
      <c r="Y195" s="481"/>
      <c r="Z195" s="481"/>
      <c r="AA195" s="481"/>
      <c r="AB195" s="481"/>
      <c r="AC195" s="481"/>
      <c r="AD195" s="481">
        <f>SUM(AD196:AD201)</f>
        <v>521.699454932355</v>
      </c>
      <c r="AE195" s="482"/>
      <c r="AF195" s="481">
        <f>AF196</f>
        <v>25.587362087382957</v>
      </c>
      <c r="AG195" s="487">
        <f>AG196</f>
        <v>226.2156</v>
      </c>
      <c r="AH195" s="487"/>
    </row>
    <row r="196" spans="1:34" ht="12.75">
      <c r="A196" s="284" t="s">
        <v>635</v>
      </c>
      <c r="X196" s="15">
        <v>42.28967867020073</v>
      </c>
      <c r="Y196" s="15"/>
      <c r="Z196" s="15"/>
      <c r="AA196" s="15"/>
      <c r="AB196" s="15"/>
      <c r="AC196" s="15"/>
      <c r="AD196" s="15">
        <v>380.6071080318065</v>
      </c>
      <c r="AE196" s="42"/>
      <c r="AF196" s="44">
        <f>Fat!D12</f>
        <v>25.587362087382957</v>
      </c>
      <c r="AG196" s="208">
        <f>'[1]Nutri SS OD RR BAU '!$D$542+'[1]Nutri SS OD RR BAU '!$D$545+'[1]Nutri SS OD RR BAU '!$D$548</f>
        <v>226.2156</v>
      </c>
      <c r="AH196" s="1134"/>
    </row>
    <row r="197" spans="1:34" ht="12.75">
      <c r="A197" s="284" t="s">
        <v>49</v>
      </c>
      <c r="X197" s="271" t="s">
        <v>776</v>
      </c>
      <c r="Y197" s="44"/>
      <c r="Z197" s="44"/>
      <c r="AA197" s="44"/>
      <c r="AB197" s="44"/>
      <c r="AC197" s="44"/>
      <c r="AD197" s="271" t="s">
        <v>776</v>
      </c>
      <c r="AE197" s="479"/>
      <c r="AF197" s="271" t="s">
        <v>776</v>
      </c>
      <c r="AG197" s="498" t="s">
        <v>776</v>
      </c>
      <c r="AH197" s="498"/>
    </row>
    <row r="198" spans="1:34" ht="12.75">
      <c r="A198" s="234" t="s">
        <v>631</v>
      </c>
      <c r="B198" s="233"/>
      <c r="C198" s="233"/>
      <c r="D198" s="233"/>
      <c r="E198" s="233"/>
      <c r="F198" s="233"/>
      <c r="G198" s="233"/>
      <c r="H198" s="233"/>
      <c r="I198" s="233"/>
      <c r="J198" s="233"/>
      <c r="K198" s="233"/>
      <c r="L198" s="233"/>
      <c r="M198" s="233"/>
      <c r="N198" s="233"/>
      <c r="O198" s="233"/>
      <c r="P198" s="233"/>
      <c r="Q198" s="233"/>
      <c r="R198" s="233"/>
      <c r="S198" s="233"/>
      <c r="T198" s="233"/>
      <c r="U198" s="233"/>
      <c r="V198" s="233"/>
      <c r="W198" s="233"/>
      <c r="X198" s="475">
        <v>3.0758578631424984</v>
      </c>
      <c r="Y198" s="475"/>
      <c r="Z198" s="475"/>
      <c r="AA198" s="475"/>
      <c r="AB198" s="475"/>
      <c r="AC198" s="475"/>
      <c r="AD198" s="475">
        <v>16.609632460969486</v>
      </c>
      <c r="AE198" s="42"/>
      <c r="AF198" s="478" t="s">
        <v>88</v>
      </c>
      <c r="AG198" s="498" t="s">
        <v>88</v>
      </c>
      <c r="AH198" s="498"/>
    </row>
    <row r="199" spans="1:34" ht="12.75">
      <c r="A199" s="234" t="s">
        <v>634</v>
      </c>
      <c r="B199" s="233"/>
      <c r="C199" s="233"/>
      <c r="D199" s="233"/>
      <c r="E199" s="233"/>
      <c r="F199" s="233"/>
      <c r="G199" s="233"/>
      <c r="H199" s="233"/>
      <c r="I199" s="233"/>
      <c r="J199" s="233"/>
      <c r="K199" s="233"/>
      <c r="L199" s="233"/>
      <c r="M199" s="233"/>
      <c r="N199" s="233"/>
      <c r="O199" s="233"/>
      <c r="P199" s="233"/>
      <c r="Q199" s="233"/>
      <c r="R199" s="233"/>
      <c r="S199" s="233"/>
      <c r="T199" s="233"/>
      <c r="U199" s="233"/>
      <c r="V199" s="233"/>
      <c r="W199" s="233"/>
      <c r="X199" s="475">
        <v>12.129801051810478</v>
      </c>
      <c r="Y199" s="475"/>
      <c r="Z199" s="475"/>
      <c r="AA199" s="475"/>
      <c r="AB199" s="475"/>
      <c r="AC199" s="475"/>
      <c r="AD199" s="475">
        <f>FatsCurrent!AB13</f>
        <v>109.16820946629431</v>
      </c>
      <c r="AE199" s="42"/>
      <c r="AF199" s="478" t="s">
        <v>88</v>
      </c>
      <c r="AG199" s="498" t="s">
        <v>88</v>
      </c>
      <c r="AH199" s="498"/>
    </row>
    <row r="200" spans="1:34" ht="12.75">
      <c r="A200" s="234" t="s">
        <v>632</v>
      </c>
      <c r="B200" s="233"/>
      <c r="C200" s="233"/>
      <c r="D200" s="233"/>
      <c r="E200" s="233"/>
      <c r="F200" s="233"/>
      <c r="G200" s="233"/>
      <c r="H200" s="233"/>
      <c r="I200" s="233"/>
      <c r="J200" s="233"/>
      <c r="K200" s="233"/>
      <c r="L200" s="233"/>
      <c r="M200" s="233"/>
      <c r="N200" s="233"/>
      <c r="O200" s="233"/>
      <c r="P200" s="233"/>
      <c r="Q200" s="233"/>
      <c r="R200" s="233"/>
      <c r="S200" s="233"/>
      <c r="T200" s="233"/>
      <c r="U200" s="233"/>
      <c r="V200" s="233"/>
      <c r="W200" s="233"/>
      <c r="X200" s="475">
        <v>0.5917485607008356</v>
      </c>
      <c r="Y200" s="475"/>
      <c r="Z200" s="475"/>
      <c r="AA200" s="475"/>
      <c r="AB200" s="475"/>
      <c r="AC200" s="475"/>
      <c r="AD200" s="475">
        <v>5.325737046307521</v>
      </c>
      <c r="AE200" s="42"/>
      <c r="AF200" s="478" t="s">
        <v>88</v>
      </c>
      <c r="AG200" s="498" t="s">
        <v>88</v>
      </c>
      <c r="AH200" s="498"/>
    </row>
    <row r="201" spans="1:34" ht="12.75">
      <c r="A201" s="234" t="s">
        <v>761</v>
      </c>
      <c r="B201" s="233"/>
      <c r="C201" s="233"/>
      <c r="D201" s="233"/>
      <c r="E201" s="233"/>
      <c r="F201" s="233"/>
      <c r="G201" s="233"/>
      <c r="H201" s="233"/>
      <c r="I201" s="233"/>
      <c r="J201" s="233"/>
      <c r="K201" s="233"/>
      <c r="L201" s="233"/>
      <c r="M201" s="233"/>
      <c r="N201" s="233"/>
      <c r="O201" s="233"/>
      <c r="P201" s="233"/>
      <c r="Q201" s="233"/>
      <c r="R201" s="233"/>
      <c r="S201" s="233"/>
      <c r="T201" s="233"/>
      <c r="U201" s="233"/>
      <c r="V201" s="233"/>
      <c r="W201" s="233"/>
      <c r="X201" s="475">
        <v>1.1098631029974784</v>
      </c>
      <c r="Y201" s="475"/>
      <c r="Z201" s="475"/>
      <c r="AA201" s="475"/>
      <c r="AB201" s="475"/>
      <c r="AC201" s="475"/>
      <c r="AD201" s="475">
        <v>9.988767926977305</v>
      </c>
      <c r="AE201" s="42"/>
      <c r="AF201" s="478" t="s">
        <v>88</v>
      </c>
      <c r="AG201" s="498" t="s">
        <v>88</v>
      </c>
      <c r="AH201" s="498"/>
    </row>
    <row r="202" spans="1:34" ht="12.75">
      <c r="A202" s="8"/>
      <c r="AF202" s="45"/>
      <c r="AG202" s="1134"/>
      <c r="AH202" s="1134"/>
    </row>
    <row r="203" spans="1:34" ht="12.75">
      <c r="A203" s="8" t="s">
        <v>9</v>
      </c>
      <c r="X203" s="468">
        <f>SUM(X204:X208)</f>
        <v>98.38127648650428</v>
      </c>
      <c r="Y203" s="8"/>
      <c r="Z203" s="8"/>
      <c r="AA203" s="8"/>
      <c r="AB203" s="8"/>
      <c r="AC203" s="8"/>
      <c r="AD203" s="468">
        <f>SUM(AD204:AD208)</f>
        <v>374.78581518668295</v>
      </c>
      <c r="AE203" s="469"/>
      <c r="AF203" s="468">
        <f>SUM(AF204:AF208)</f>
        <v>48.374271450043004</v>
      </c>
      <c r="AG203" s="487">
        <f>SUM(AG204:AG208)</f>
        <v>179.98666180132858</v>
      </c>
      <c r="AH203" s="487"/>
    </row>
    <row r="204" spans="1:34" ht="12.75">
      <c r="A204" s="14" t="s">
        <v>763</v>
      </c>
      <c r="X204" s="15">
        <f>SugarsCurrent!V8</f>
        <v>46.345854586235205</v>
      </c>
      <c r="Y204" s="15"/>
      <c r="Z204" s="15"/>
      <c r="AA204" s="15"/>
      <c r="AB204" s="15"/>
      <c r="AC204" s="15"/>
      <c r="AD204" s="15">
        <f>SugarsCurrent!AB8</f>
        <v>176.5556365189913</v>
      </c>
      <c r="AE204" s="15"/>
      <c r="AF204" s="44">
        <v>40.25</v>
      </c>
      <c r="AG204" s="1134">
        <f>Sugars!E12</f>
        <v>155.768</v>
      </c>
      <c r="AH204" s="1134"/>
    </row>
    <row r="205" spans="1:34" ht="12.75">
      <c r="A205" s="14" t="s">
        <v>356</v>
      </c>
      <c r="X205" s="15">
        <f>SugarsCurrent!V11</f>
        <v>0.9469222506772889</v>
      </c>
      <c r="Y205" s="15"/>
      <c r="Z205" s="15"/>
      <c r="AA205" s="15"/>
      <c r="AB205" s="15"/>
      <c r="AC205" s="15"/>
      <c r="AD205" s="15">
        <f>SugarsCurrent!AB11</f>
        <v>3.6073228597230056</v>
      </c>
      <c r="AE205" s="15"/>
      <c r="AF205" s="44">
        <f>Sugars!F9*6.99</f>
        <v>7.409815334843007</v>
      </c>
      <c r="AG205" s="1134">
        <f>Sugars!E9</f>
        <v>22.26124778708199</v>
      </c>
      <c r="AH205" s="1134"/>
    </row>
    <row r="206" spans="1:34" ht="12.75">
      <c r="A206" s="14" t="s">
        <v>651</v>
      </c>
      <c r="X206" s="1185">
        <f>SugarsCurrent!V10</f>
        <v>0.42332800646549995</v>
      </c>
      <c r="Y206" s="480"/>
      <c r="Z206" s="480"/>
      <c r="AA206" s="480"/>
      <c r="AB206" s="480"/>
      <c r="AC206" s="480"/>
      <c r="AD206" s="1186">
        <f>SugarsCurrent!AB10</f>
        <v>1.6126781198685713</v>
      </c>
      <c r="AE206" s="15"/>
      <c r="AF206" s="478" t="s">
        <v>88</v>
      </c>
      <c r="AG206" s="498" t="s">
        <v>88</v>
      </c>
      <c r="AH206" s="498"/>
    </row>
    <row r="207" spans="1:34" ht="12.75">
      <c r="A207" s="14" t="s">
        <v>375</v>
      </c>
      <c r="X207" s="1185"/>
      <c r="Y207" s="480"/>
      <c r="Z207" s="480"/>
      <c r="AA207" s="480"/>
      <c r="AB207" s="480"/>
      <c r="AC207" s="480"/>
      <c r="AD207" s="1186"/>
      <c r="AE207" s="15"/>
      <c r="AF207" s="479">
        <f>Sugars!F10*6.57</f>
        <v>0.7144561152</v>
      </c>
      <c r="AG207" s="1134">
        <f>Sugars!E10</f>
        <v>1.9574140142465752</v>
      </c>
      <c r="AH207" s="1134"/>
    </row>
    <row r="208" spans="1:34" ht="12.75">
      <c r="A208" s="233" t="s">
        <v>656</v>
      </c>
      <c r="B208" s="233"/>
      <c r="C208" s="233"/>
      <c r="D208" s="233"/>
      <c r="E208" s="233"/>
      <c r="F208" s="233"/>
      <c r="G208" s="233"/>
      <c r="H208" s="233"/>
      <c r="I208" s="233"/>
      <c r="J208" s="233"/>
      <c r="K208" s="233"/>
      <c r="L208" s="233"/>
      <c r="M208" s="233"/>
      <c r="N208" s="233"/>
      <c r="O208" s="233"/>
      <c r="P208" s="233"/>
      <c r="Q208" s="233"/>
      <c r="R208" s="233"/>
      <c r="S208" s="233"/>
      <c r="T208" s="233"/>
      <c r="U208" s="233"/>
      <c r="V208" s="233"/>
      <c r="W208" s="233"/>
      <c r="X208" s="475">
        <f>SugarsCurrent!V17</f>
        <v>50.66517164312627</v>
      </c>
      <c r="Y208" s="475"/>
      <c r="Z208" s="475"/>
      <c r="AA208" s="475"/>
      <c r="AB208" s="475"/>
      <c r="AC208" s="475"/>
      <c r="AD208" s="475">
        <f>SugarsCurrent!AB17</f>
        <v>193.0101776881001</v>
      </c>
      <c r="AE208" s="15"/>
      <c r="AF208" s="271" t="s">
        <v>88</v>
      </c>
      <c r="AG208" s="498" t="s">
        <v>88</v>
      </c>
      <c r="AH208" s="498"/>
    </row>
    <row r="209" spans="32:34" ht="12.75">
      <c r="AF209" s="45"/>
      <c r="AG209" s="1134"/>
      <c r="AH209" s="1134"/>
    </row>
    <row r="210" spans="1:34" ht="12.75">
      <c r="A210" s="8" t="s">
        <v>774</v>
      </c>
      <c r="X210" s="484">
        <f>SUM(X211:X213)</f>
        <v>263.677373720738</v>
      </c>
      <c r="Y210" s="481"/>
      <c r="Z210" s="481"/>
      <c r="AA210" s="481"/>
      <c r="AB210" s="481"/>
      <c r="AC210" s="481"/>
      <c r="AD210" s="484" t="e">
        <f>SUM(AD211:AD213)</f>
        <v>#REF!</v>
      </c>
      <c r="AE210" s="482"/>
      <c r="AF210" s="484">
        <f>SUM(AF211:AF213)</f>
        <v>263.677373720738</v>
      </c>
      <c r="AG210" s="1139">
        <f>SUM(AG211:AG213)</f>
        <v>124.135</v>
      </c>
      <c r="AH210" s="1139"/>
    </row>
    <row r="211" spans="1:34" ht="12.75">
      <c r="A211" s="14" t="s">
        <v>4</v>
      </c>
      <c r="X211" s="15">
        <f>Alcohol!B17*355</f>
        <v>225.17011963664945</v>
      </c>
      <c r="Y211" s="15"/>
      <c r="Z211" s="15"/>
      <c r="AA211" s="15"/>
      <c r="AB211" s="15"/>
      <c r="AC211" s="15"/>
      <c r="AD211" s="222" t="e">
        <f>Alcohol!#REF!</f>
        <v>#REF!</v>
      </c>
      <c r="AE211" s="42"/>
      <c r="AF211" s="15">
        <f>X211</f>
        <v>225.17011963664945</v>
      </c>
      <c r="AG211" s="498">
        <v>70.92</v>
      </c>
      <c r="AH211" s="498"/>
    </row>
    <row r="212" spans="1:34" ht="12.75">
      <c r="A212" s="14" t="s">
        <v>7</v>
      </c>
      <c r="X212" s="15">
        <f>Alcohol!C17*103</f>
        <v>24.694215774405087</v>
      </c>
      <c r="AD212" s="222" t="e">
        <f>Alcohol!#REF!</f>
        <v>#REF!</v>
      </c>
      <c r="AE212" s="15"/>
      <c r="AF212" s="15">
        <f>X212</f>
        <v>24.694215774405087</v>
      </c>
      <c r="AG212" s="498">
        <v>20.875</v>
      </c>
      <c r="AH212" s="498"/>
    </row>
    <row r="213" spans="1:34" ht="12.75">
      <c r="A213" s="14" t="s">
        <v>762</v>
      </c>
      <c r="X213" s="15">
        <f>Alcohol!D17*42</f>
        <v>13.813038309683458</v>
      </c>
      <c r="Y213" s="118"/>
      <c r="Z213" s="118"/>
      <c r="AA213" s="118"/>
      <c r="AB213" s="118"/>
      <c r="AC213" s="118"/>
      <c r="AD213" s="966" t="e">
        <f>Alcohol!#REF!</f>
        <v>#REF!</v>
      </c>
      <c r="AE213" s="118"/>
      <c r="AF213" s="15">
        <f>X213</f>
        <v>13.813038309683458</v>
      </c>
      <c r="AG213" s="498">
        <v>32.34</v>
      </c>
      <c r="AH213" s="498"/>
    </row>
    <row r="214" spans="24:32" ht="12.75">
      <c r="X214" s="15"/>
      <c r="Y214" s="118"/>
      <c r="Z214" s="118"/>
      <c r="AA214" s="118"/>
      <c r="AB214" s="118"/>
      <c r="AC214" s="118"/>
      <c r="AD214" s="118"/>
      <c r="AE214" s="118"/>
      <c r="AF214" s="118"/>
    </row>
    <row r="215" spans="1:33" ht="12.75">
      <c r="A215" s="1140" t="s">
        <v>1227</v>
      </c>
      <c r="X215" s="15"/>
      <c r="Y215" s="118"/>
      <c r="Z215" s="118"/>
      <c r="AA215" s="118"/>
      <c r="AB215" s="118"/>
      <c r="AC215" s="118"/>
      <c r="AD215" s="118"/>
      <c r="AE215" s="118"/>
      <c r="AF215" s="118"/>
      <c r="AG215" s="208">
        <v>47.81419999999999</v>
      </c>
    </row>
    <row r="216" ht="12.75">
      <c r="AD216" s="46"/>
    </row>
    <row r="217" spans="1:35" s="8" customFormat="1" ht="12.75">
      <c r="A217" s="8" t="s">
        <v>768</v>
      </c>
      <c r="AD217" s="468" t="e">
        <f>AD203+AD195+AD177+AD156+AD146+AD83+AD7+AD210+AD215</f>
        <v>#REF!</v>
      </c>
      <c r="AE217" s="469"/>
      <c r="AG217" s="481">
        <f>AG203+AG195+AG177+AG156+AG146+AG83+AG7+AG210+AG215</f>
        <v>2299.76784301029</v>
      </c>
      <c r="AH217" s="487"/>
      <c r="AI217"/>
    </row>
    <row r="220" ht="12.75">
      <c r="A220" s="8"/>
    </row>
    <row r="221" ht="12.75">
      <c r="AF221" s="15"/>
    </row>
    <row r="222" ht="12.75">
      <c r="AF222" s="15"/>
    </row>
    <row r="223" spans="1:32" ht="12.75">
      <c r="A223" s="14"/>
      <c r="AF223" s="118"/>
    </row>
  </sheetData>
  <sheetProtection/>
  <mergeCells count="33">
    <mergeCell ref="AF2:AF5"/>
    <mergeCell ref="AG2:AG5"/>
    <mergeCell ref="AE2:AE5"/>
    <mergeCell ref="N6:O6"/>
    <mergeCell ref="L6:M6"/>
    <mergeCell ref="J6:K6"/>
    <mergeCell ref="T6:U6"/>
    <mergeCell ref="AB6:AC6"/>
    <mergeCell ref="B1:AD1"/>
    <mergeCell ref="AF1:AG1"/>
    <mergeCell ref="H6:I6"/>
    <mergeCell ref="F6:G6"/>
    <mergeCell ref="D6:E6"/>
    <mergeCell ref="B6:C6"/>
    <mergeCell ref="P6:Q6"/>
    <mergeCell ref="R6:S6"/>
    <mergeCell ref="X6:Y6"/>
    <mergeCell ref="Z6:AA6"/>
    <mergeCell ref="X206:X207"/>
    <mergeCell ref="L3:M5"/>
    <mergeCell ref="N3:O5"/>
    <mergeCell ref="AD206:AD207"/>
    <mergeCell ref="P2:Q5"/>
    <mergeCell ref="R2:Y5"/>
    <mergeCell ref="Z2:AA5"/>
    <mergeCell ref="AB2:AC5"/>
    <mergeCell ref="AD2:AD5"/>
    <mergeCell ref="B2:C5"/>
    <mergeCell ref="D2:E5"/>
    <mergeCell ref="F2:G5"/>
    <mergeCell ref="H2:I5"/>
    <mergeCell ref="J2:K5"/>
    <mergeCell ref="L2:O2"/>
  </mergeCells>
  <printOptions/>
  <pageMargins left="0.7" right="0.7" top="0.75" bottom="0.75" header="0.3" footer="0.3"/>
  <pageSetup orientation="portrait"/>
  <legacyDrawing r:id="rId2"/>
</worksheet>
</file>

<file path=xl/worksheets/sheet30.xml><?xml version="1.0" encoding="utf-8"?>
<worksheet xmlns="http://schemas.openxmlformats.org/spreadsheetml/2006/main" xmlns:r="http://schemas.openxmlformats.org/officeDocument/2006/relationships">
  <dimension ref="A1:K7"/>
  <sheetViews>
    <sheetView zoomScalePageLayoutView="0" workbookViewId="0" topLeftCell="A1">
      <selection activeCell="G22" sqref="G22"/>
    </sheetView>
  </sheetViews>
  <sheetFormatPr defaultColWidth="8.8515625" defaultRowHeight="12.75"/>
  <cols>
    <col min="1" max="8" width="8.8515625" style="0" customWidth="1"/>
    <col min="9" max="9" width="10.28125" style="0" bestFit="1" customWidth="1"/>
  </cols>
  <sheetData>
    <row r="1" ht="15.75">
      <c r="A1" s="197" t="s">
        <v>352</v>
      </c>
    </row>
    <row r="2" spans="3:9" ht="12.75">
      <c r="C2" s="1249" t="s">
        <v>352</v>
      </c>
      <c r="D2" s="1250"/>
      <c r="E2" s="1250"/>
      <c r="F2" s="1250"/>
      <c r="G2" s="1250"/>
      <c r="H2" s="1250"/>
      <c r="I2" s="1250"/>
    </row>
    <row r="3" spans="3:9" ht="12.75">
      <c r="C3" s="159" t="s">
        <v>1079</v>
      </c>
      <c r="D3" s="159" t="s">
        <v>1080</v>
      </c>
      <c r="E3" s="159" t="s">
        <v>1078</v>
      </c>
      <c r="F3" s="159" t="s">
        <v>1081</v>
      </c>
      <c r="G3" s="159" t="s">
        <v>1082</v>
      </c>
      <c r="H3" s="1249" t="s">
        <v>836</v>
      </c>
      <c r="I3" s="1249"/>
    </row>
    <row r="4" spans="3:11" ht="12.75">
      <c r="C4" s="1249" t="s">
        <v>1075</v>
      </c>
      <c r="D4" s="1250"/>
      <c r="E4" s="1250"/>
      <c r="F4" s="1250"/>
      <c r="G4" s="1250"/>
      <c r="H4" s="1250"/>
      <c r="I4" s="159" t="s">
        <v>99</v>
      </c>
      <c r="K4" t="s">
        <v>1058</v>
      </c>
    </row>
    <row r="5" spans="1:11" ht="12.75">
      <c r="A5" s="14" t="s">
        <v>1076</v>
      </c>
      <c r="C5" s="43">
        <v>3.9836438833260774</v>
      </c>
      <c r="D5" s="43">
        <v>4.029882363117378</v>
      </c>
      <c r="E5" s="43">
        <v>4.039308440487965</v>
      </c>
      <c r="F5" s="43">
        <v>4.216711509715994</v>
      </c>
      <c r="G5" s="43">
        <v>4.246957403651115</v>
      </c>
      <c r="H5" s="976">
        <f>AVERAGE(C5:G5)</f>
        <v>4.103300720059705</v>
      </c>
      <c r="I5" s="15">
        <f>H5*2000</f>
        <v>8206.60144011941</v>
      </c>
      <c r="K5" s="14" t="s">
        <v>1133</v>
      </c>
    </row>
    <row r="6" spans="1:11" ht="12.75">
      <c r="A6" s="14" t="s">
        <v>1077</v>
      </c>
      <c r="C6" s="43">
        <v>4.155596083231335</v>
      </c>
      <c r="D6" s="43">
        <v>3.8305779716466737</v>
      </c>
      <c r="E6" s="43">
        <v>4.35107363075807</v>
      </c>
      <c r="F6" s="43">
        <v>4.559952041174406</v>
      </c>
      <c r="G6" s="43">
        <v>4.493249369332193</v>
      </c>
      <c r="H6" s="976">
        <f>AVERAGE(C6:G6)</f>
        <v>4.278089819228535</v>
      </c>
      <c r="I6" s="15">
        <f>H6*2000</f>
        <v>8556.17963845707</v>
      </c>
      <c r="K6" s="14" t="s">
        <v>1134</v>
      </c>
    </row>
    <row r="7" ht="12.75">
      <c r="A7" s="14"/>
    </row>
  </sheetData>
  <sheetProtection/>
  <mergeCells count="3">
    <mergeCell ref="C4:H4"/>
    <mergeCell ref="H3:I3"/>
    <mergeCell ref="C2:I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F12"/>
  <sheetViews>
    <sheetView zoomScalePageLayoutView="0" workbookViewId="0" topLeftCell="A1">
      <selection activeCell="A12" sqref="A12"/>
    </sheetView>
  </sheetViews>
  <sheetFormatPr defaultColWidth="8.8515625" defaultRowHeight="12.75"/>
  <cols>
    <col min="1" max="1" width="15.28125" style="0" customWidth="1"/>
    <col min="2" max="2" width="11.140625" style="0" customWidth="1"/>
    <col min="3" max="3" width="14.00390625" style="0" customWidth="1"/>
  </cols>
  <sheetData>
    <row r="1" ht="15.75">
      <c r="A1" s="113" t="s">
        <v>449</v>
      </c>
    </row>
    <row r="2" ht="12.75">
      <c r="A2" s="14" t="s">
        <v>808</v>
      </c>
    </row>
    <row r="4" spans="1:2" ht="12.75">
      <c r="A4" s="14" t="s">
        <v>122</v>
      </c>
      <c r="B4" s="15">
        <v>17000000</v>
      </c>
    </row>
    <row r="5" spans="2:6" ht="63.75" customHeight="1">
      <c r="B5" s="268" t="s">
        <v>658</v>
      </c>
      <c r="C5" s="268" t="s">
        <v>448</v>
      </c>
      <c r="D5" s="268" t="s">
        <v>1083</v>
      </c>
      <c r="E5" s="1340" t="s">
        <v>447</v>
      </c>
      <c r="F5" s="1340"/>
    </row>
    <row r="6" spans="2:6" ht="12.75">
      <c r="B6" s="65" t="s">
        <v>446</v>
      </c>
      <c r="C6" s="65" t="s">
        <v>46</v>
      </c>
      <c r="D6" s="110" t="s">
        <v>99</v>
      </c>
      <c r="E6" s="65" t="s">
        <v>450</v>
      </c>
      <c r="F6" s="66" t="s">
        <v>451</v>
      </c>
    </row>
    <row r="7" spans="1:6" ht="12.75">
      <c r="A7" s="162" t="s">
        <v>433</v>
      </c>
      <c r="B7" s="260">
        <v>9.346793307705695</v>
      </c>
      <c r="C7" s="17">
        <f>B7*$B$4</f>
        <v>158895486.23099682</v>
      </c>
      <c r="D7" s="416">
        <f>GlobalY!C56</f>
        <v>465.3606300352</v>
      </c>
      <c r="E7" s="17">
        <f>C7/D7</f>
        <v>341445.91522273363</v>
      </c>
      <c r="F7" s="417">
        <f>E7/1000</f>
        <v>341.4459152227336</v>
      </c>
    </row>
    <row r="8" spans="1:6" ht="12.75">
      <c r="A8" s="14" t="s">
        <v>432</v>
      </c>
      <c r="B8" s="260">
        <v>0.9306001752659341</v>
      </c>
      <c r="C8" s="17">
        <f>B8*$B$4</f>
        <v>15820202.97952088</v>
      </c>
      <c r="D8" s="418">
        <f>GlobalY!C53</f>
        <v>1387.8738421832</v>
      </c>
      <c r="E8" s="17">
        <f>C8/D8</f>
        <v>11398.876827763288</v>
      </c>
      <c r="F8" s="181">
        <f>E8/1000</f>
        <v>11.398876827763289</v>
      </c>
    </row>
    <row r="9" spans="1:6" ht="12.75">
      <c r="A9" s="14" t="s">
        <v>659</v>
      </c>
      <c r="B9" s="260">
        <v>5.7985119630850885</v>
      </c>
      <c r="C9" s="17">
        <f>B9*$B$4</f>
        <v>98574703.3724465</v>
      </c>
      <c r="D9" s="418">
        <f>GlobalY!C54</f>
        <v>314.047050944</v>
      </c>
      <c r="E9" s="17">
        <f>C9/D9</f>
        <v>313885.14261203515</v>
      </c>
      <c r="F9" s="181">
        <f>E9/1000</f>
        <v>313.88514261203517</v>
      </c>
    </row>
    <row r="10" spans="1:6" ht="12.75">
      <c r="A10" s="257" t="s">
        <v>63</v>
      </c>
      <c r="B10" s="419"/>
      <c r="C10" s="420"/>
      <c r="D10" s="258"/>
      <c r="E10" s="421">
        <f>SUM(E7:E9)</f>
        <v>666729.9346625321</v>
      </c>
      <c r="F10" s="417">
        <f>E10/1000</f>
        <v>666.7299346625321</v>
      </c>
    </row>
    <row r="12" ht="12.75">
      <c r="A12" s="14" t="s">
        <v>1085</v>
      </c>
    </row>
  </sheetData>
  <sheetProtection/>
  <mergeCells count="1">
    <mergeCell ref="E5:F5"/>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T30"/>
  <sheetViews>
    <sheetView zoomScalePageLayoutView="0" workbookViewId="0" topLeftCell="A1">
      <selection activeCell="F18" sqref="F18"/>
    </sheetView>
  </sheetViews>
  <sheetFormatPr defaultColWidth="8.8515625" defaultRowHeight="12.75"/>
  <cols>
    <col min="1" max="1" width="20.00390625" style="0" customWidth="1"/>
  </cols>
  <sheetData>
    <row r="1" ht="15.75">
      <c r="A1" s="113" t="s">
        <v>277</v>
      </c>
    </row>
    <row r="2" ht="12.75">
      <c r="A2" s="14" t="s">
        <v>808</v>
      </c>
    </row>
    <row r="4" spans="1:5" s="14" customFormat="1" ht="12.75">
      <c r="A4" s="215" t="s">
        <v>981</v>
      </c>
      <c r="B4" s="216"/>
      <c r="C4" s="217"/>
      <c r="D4" s="217"/>
      <c r="E4" s="217"/>
    </row>
    <row r="5" spans="1:5" s="14" customFormat="1" ht="12.75">
      <c r="A5" s="1341" t="s">
        <v>397</v>
      </c>
      <c r="B5" s="1344" t="s">
        <v>4</v>
      </c>
      <c r="C5" s="1347" t="s">
        <v>398</v>
      </c>
      <c r="D5" s="1350" t="s">
        <v>669</v>
      </c>
      <c r="E5" s="1347" t="s">
        <v>399</v>
      </c>
    </row>
    <row r="6" spans="1:7" s="14" customFormat="1" ht="12.75">
      <c r="A6" s="1342"/>
      <c r="B6" s="1345"/>
      <c r="C6" s="1348"/>
      <c r="D6" s="1351"/>
      <c r="E6" s="1348"/>
      <c r="G6" s="14" t="s">
        <v>1026</v>
      </c>
    </row>
    <row r="7" spans="1:5" s="14" customFormat="1" ht="12.75" hidden="1">
      <c r="A7" s="1343"/>
      <c r="B7" s="1346"/>
      <c r="C7" s="1349"/>
      <c r="D7" s="1352"/>
      <c r="E7" s="1349"/>
    </row>
    <row r="8" spans="1:20" s="82" customFormat="1" ht="12.75">
      <c r="A8" s="449">
        <v>2004</v>
      </c>
      <c r="B8" s="450">
        <v>21.713748585352363</v>
      </c>
      <c r="C8" s="227">
        <v>2.270461467025388</v>
      </c>
      <c r="D8" s="227">
        <v>1.35347019177061</v>
      </c>
      <c r="E8" s="227">
        <v>25.337680244148363</v>
      </c>
      <c r="G8" s="226" t="s">
        <v>1135</v>
      </c>
      <c r="H8" s="219"/>
      <c r="I8" s="219"/>
      <c r="J8" s="219"/>
      <c r="K8" s="219"/>
      <c r="L8" s="219"/>
      <c r="M8" s="219"/>
      <c r="N8" s="219"/>
      <c r="O8" s="219"/>
      <c r="P8" s="219"/>
      <c r="Q8" s="219"/>
      <c r="R8" s="219"/>
      <c r="S8" s="219"/>
      <c r="T8" s="219"/>
    </row>
    <row r="9" spans="1:20" s="82" customFormat="1" ht="11.25" customHeight="1">
      <c r="A9" s="218">
        <v>2005</v>
      </c>
      <c r="B9" s="451">
        <v>21.497536871032484</v>
      </c>
      <c r="C9" s="219">
        <v>2.34131025405923</v>
      </c>
      <c r="D9" s="219">
        <v>1.38294284034254</v>
      </c>
      <c r="E9" s="219">
        <v>25.221789965434255</v>
      </c>
      <c r="F9" s="219"/>
      <c r="G9" s="219"/>
      <c r="H9" s="219"/>
      <c r="I9" s="219"/>
      <c r="J9" s="219"/>
      <c r="K9" s="219"/>
      <c r="L9" s="219"/>
      <c r="M9" s="219"/>
      <c r="N9" s="219"/>
      <c r="O9" s="219"/>
      <c r="P9" s="219"/>
      <c r="Q9" s="219"/>
      <c r="R9" s="219"/>
      <c r="S9" s="219"/>
      <c r="T9" s="219"/>
    </row>
    <row r="10" spans="1:20" s="82" customFormat="1" ht="11.25" customHeight="1">
      <c r="A10" s="218">
        <v>2006</v>
      </c>
      <c r="B10" s="451">
        <v>21.77444153985911</v>
      </c>
      <c r="C10" s="219">
        <v>2.4031129865298313</v>
      </c>
      <c r="D10" s="219">
        <v>1.4244207966181668</v>
      </c>
      <c r="E10" s="219">
        <v>25.60197532300711</v>
      </c>
      <c r="F10" s="219"/>
      <c r="G10" s="219"/>
      <c r="H10" s="219"/>
      <c r="I10" s="219"/>
      <c r="J10" s="219"/>
      <c r="K10" s="219"/>
      <c r="L10" s="219"/>
      <c r="M10" s="219"/>
      <c r="N10" s="219"/>
      <c r="O10" s="219"/>
      <c r="P10" s="219"/>
      <c r="Q10" s="219"/>
      <c r="R10" s="219"/>
      <c r="S10" s="219"/>
      <c r="T10" s="219"/>
    </row>
    <row r="11" spans="1:20" s="82" customFormat="1" ht="11.25" customHeight="1">
      <c r="A11" s="218">
        <v>2007</v>
      </c>
      <c r="B11" s="451">
        <v>21.8031169039387</v>
      </c>
      <c r="C11" s="219">
        <v>2.472700720236317</v>
      </c>
      <c r="D11" s="219">
        <v>1.4304453217829998</v>
      </c>
      <c r="E11" s="219">
        <v>25.70626294595802</v>
      </c>
      <c r="F11" s="219"/>
      <c r="G11" s="219"/>
      <c r="H11" s="219"/>
      <c r="I11" s="219"/>
      <c r="J11" s="219"/>
      <c r="K11" s="219"/>
      <c r="L11" s="219"/>
      <c r="M11" s="219"/>
      <c r="N11" s="219"/>
      <c r="O11" s="219"/>
      <c r="P11" s="219"/>
      <c r="Q11" s="219"/>
      <c r="R11" s="219"/>
      <c r="S11" s="219"/>
      <c r="T11" s="219"/>
    </row>
    <row r="12" spans="1:20" s="82" customFormat="1" ht="11.25" customHeight="1">
      <c r="A12" s="220">
        <v>2008</v>
      </c>
      <c r="B12" s="452">
        <v>21.73284668174128</v>
      </c>
      <c r="C12" s="221">
        <v>2.476484904295205</v>
      </c>
      <c r="D12" s="221">
        <v>1.442424787870815</v>
      </c>
      <c r="E12" s="221">
        <v>25.6517563739073</v>
      </c>
      <c r="F12" s="219"/>
      <c r="G12" s="219"/>
      <c r="H12" s="219"/>
      <c r="I12" s="219"/>
      <c r="J12" s="219"/>
      <c r="K12" s="219"/>
      <c r="L12" s="219"/>
      <c r="M12" s="219"/>
      <c r="N12" s="219"/>
      <c r="O12" s="219"/>
      <c r="P12" s="219"/>
      <c r="Q12" s="219"/>
      <c r="R12" s="219"/>
      <c r="S12" s="219"/>
      <c r="T12" s="219"/>
    </row>
    <row r="13" spans="1:20" s="82" customFormat="1" ht="11.25" customHeight="1">
      <c r="A13" s="228" t="s">
        <v>403</v>
      </c>
      <c r="B13" s="219">
        <f>AVERAGE(B8:B12)</f>
        <v>21.704338116384786</v>
      </c>
      <c r="C13" s="219">
        <f>AVERAGE(C8:C12)</f>
        <v>2.3928140664291946</v>
      </c>
      <c r="D13" s="219">
        <f>AVERAGE(D8:D12)</f>
        <v>1.4067407876770264</v>
      </c>
      <c r="E13" s="227">
        <f>AVERAGE(E8:E12)</f>
        <v>25.50389297049101</v>
      </c>
      <c r="F13" s="219"/>
      <c r="G13" s="219"/>
      <c r="H13" s="219"/>
      <c r="I13" s="219"/>
      <c r="J13" s="219"/>
      <c r="K13" s="219"/>
      <c r="L13" s="219"/>
      <c r="M13" s="219"/>
      <c r="N13" s="219"/>
      <c r="O13" s="219"/>
      <c r="P13" s="219"/>
      <c r="Q13" s="219"/>
      <c r="R13" s="219"/>
      <c r="S13" s="219"/>
      <c r="T13" s="219"/>
    </row>
    <row r="14" spans="1:20" s="82" customFormat="1" ht="11.25" customHeight="1">
      <c r="A14" s="228" t="s">
        <v>402</v>
      </c>
      <c r="B14" s="222">
        <f>B13*128</f>
        <v>2778.1552788972526</v>
      </c>
      <c r="C14" s="222">
        <f>C13*128</f>
        <v>306.2802005029369</v>
      </c>
      <c r="D14" s="222">
        <f>D13*128</f>
        <v>180.06282082265938</v>
      </c>
      <c r="E14" s="222">
        <f>E13*128</f>
        <v>3264.498300222849</v>
      </c>
      <c r="F14" s="223"/>
      <c r="G14" s="219"/>
      <c r="H14" s="219"/>
      <c r="I14" s="219"/>
      <c r="J14" s="219"/>
      <c r="K14" s="219"/>
      <c r="L14" s="219"/>
      <c r="M14" s="219"/>
      <c r="N14" s="219"/>
      <c r="O14" s="219"/>
      <c r="P14" s="219"/>
      <c r="Q14" s="219"/>
      <c r="R14" s="219"/>
      <c r="S14" s="219"/>
      <c r="T14" s="219"/>
    </row>
    <row r="15" spans="1:20" s="82" customFormat="1" ht="11.25" customHeight="1">
      <c r="A15" s="228" t="s">
        <v>404</v>
      </c>
      <c r="B15" s="219">
        <v>12</v>
      </c>
      <c r="C15" s="219">
        <v>3.5</v>
      </c>
      <c r="D15" s="219">
        <v>1.5</v>
      </c>
      <c r="E15" s="219"/>
      <c r="F15" s="223"/>
      <c r="G15" s="219"/>
      <c r="H15" s="219"/>
      <c r="I15" s="219"/>
      <c r="J15" s="219"/>
      <c r="K15" s="219"/>
      <c r="L15" s="219"/>
      <c r="M15" s="219"/>
      <c r="N15" s="219"/>
      <c r="O15" s="219"/>
      <c r="P15" s="219"/>
      <c r="Q15" s="219"/>
      <c r="R15" s="219"/>
      <c r="S15" s="219"/>
      <c r="T15" s="219"/>
    </row>
    <row r="16" spans="1:20" s="82" customFormat="1" ht="11.25" customHeight="1">
      <c r="A16" s="228" t="s">
        <v>400</v>
      </c>
      <c r="B16" s="224">
        <f>B14/B15</f>
        <v>231.51293990810439</v>
      </c>
      <c r="C16" s="224">
        <f>C14/C15</f>
        <v>87.50862871512483</v>
      </c>
      <c r="D16" s="224">
        <f>D14/D15</f>
        <v>120.04188054843958</v>
      </c>
      <c r="E16" s="219"/>
      <c r="F16" s="223"/>
      <c r="G16" s="219"/>
      <c r="H16" s="219"/>
      <c r="I16" s="219"/>
      <c r="J16" s="219"/>
      <c r="K16" s="219"/>
      <c r="L16" s="219"/>
      <c r="M16" s="219"/>
      <c r="N16" s="219"/>
      <c r="O16" s="219"/>
      <c r="P16" s="219"/>
      <c r="Q16" s="219"/>
      <c r="R16" s="219"/>
      <c r="S16" s="219"/>
      <c r="T16" s="219"/>
    </row>
    <row r="17" spans="1:20" s="82" customFormat="1" ht="11.25" customHeight="1">
      <c r="A17" s="228" t="s">
        <v>401</v>
      </c>
      <c r="B17" s="225">
        <f>B16/365</f>
        <v>0.6342820271454914</v>
      </c>
      <c r="C17" s="225">
        <f>C16/365</f>
        <v>0.23974966771267076</v>
      </c>
      <c r="D17" s="225">
        <f>D16/365</f>
        <v>0.3288818645162728</v>
      </c>
      <c r="E17" s="951">
        <f>D17+C17+B17</f>
        <v>1.202913559374435</v>
      </c>
      <c r="F17" s="223"/>
      <c r="G17" s="219"/>
      <c r="H17" s="219"/>
      <c r="I17" s="219"/>
      <c r="J17" s="219"/>
      <c r="K17" s="219"/>
      <c r="L17" s="219"/>
      <c r="M17" s="219"/>
      <c r="N17" s="219"/>
      <c r="O17" s="219"/>
      <c r="P17" s="219"/>
      <c r="Q17" s="219"/>
      <c r="R17" s="219"/>
      <c r="S17" s="219"/>
      <c r="T17" s="219"/>
    </row>
    <row r="18" spans="1:20" s="82" customFormat="1" ht="11.25" customHeight="1">
      <c r="A18" s="228" t="s">
        <v>376</v>
      </c>
      <c r="B18" s="176">
        <f>Calories!AG211</f>
        <v>70.92</v>
      </c>
      <c r="C18" s="176">
        <f>Calories!AG212</f>
        <v>20.875</v>
      </c>
      <c r="D18" s="176">
        <f>Calories!AG213</f>
        <v>32.34</v>
      </c>
      <c r="E18" s="1122">
        <f>SUM(B18:D18)</f>
        <v>124.135</v>
      </c>
      <c r="F18" s="223"/>
      <c r="G18" s="219"/>
      <c r="H18" s="219"/>
      <c r="I18" s="219"/>
      <c r="J18" s="219"/>
      <c r="K18" s="219"/>
      <c r="L18" s="219"/>
      <c r="M18" s="219"/>
      <c r="N18" s="219"/>
      <c r="O18" s="219"/>
      <c r="P18" s="219"/>
      <c r="Q18" s="219"/>
      <c r="R18" s="219"/>
      <c r="S18" s="219"/>
      <c r="T18" s="219"/>
    </row>
    <row r="19" s="14" customFormat="1" ht="12.75"/>
    <row r="20" s="14" customFormat="1" ht="12.75"/>
    <row r="23" spans="2:5" ht="12.75">
      <c r="B23" s="208"/>
      <c r="C23" s="208"/>
      <c r="D23" s="208"/>
      <c r="E23" s="208"/>
    </row>
    <row r="24" spans="1:5" ht="12.75">
      <c r="A24" s="14"/>
      <c r="E24" s="208"/>
    </row>
    <row r="25" ht="12.75">
      <c r="E25" s="208"/>
    </row>
    <row r="26" ht="12.75">
      <c r="E26" s="208"/>
    </row>
    <row r="27" ht="12.75">
      <c r="E27" s="208"/>
    </row>
    <row r="28" ht="12.75">
      <c r="E28" s="208"/>
    </row>
    <row r="29" ht="12.75">
      <c r="E29" s="208"/>
    </row>
    <row r="30" spans="1:5" ht="12.75">
      <c r="A30" s="14"/>
      <c r="B30" s="208"/>
      <c r="C30" s="208"/>
      <c r="D30" s="208"/>
      <c r="E30" s="208"/>
    </row>
  </sheetData>
  <sheetProtection/>
  <mergeCells count="5">
    <mergeCell ref="A5:A7"/>
    <mergeCell ref="B5:B7"/>
    <mergeCell ref="C5:C7"/>
    <mergeCell ref="D5:D7"/>
    <mergeCell ref="E5:E7"/>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I29"/>
  <sheetViews>
    <sheetView zoomScalePageLayoutView="0" workbookViewId="0" topLeftCell="A1">
      <selection activeCell="E7" sqref="E7"/>
    </sheetView>
  </sheetViews>
  <sheetFormatPr defaultColWidth="8.8515625" defaultRowHeight="12.75"/>
  <cols>
    <col min="1" max="1" width="27.28125" style="0" customWidth="1"/>
    <col min="2" max="2" width="12.7109375" style="0" customWidth="1"/>
    <col min="3" max="3" width="11.421875" style="0" customWidth="1"/>
    <col min="4" max="4" width="11.28125" style="0" bestFit="1" customWidth="1"/>
    <col min="5" max="6" width="8.8515625" style="0" customWidth="1"/>
    <col min="7" max="7" width="12.140625" style="0" customWidth="1"/>
  </cols>
  <sheetData>
    <row r="1" spans="1:7" ht="15.75">
      <c r="A1" s="113" t="s">
        <v>452</v>
      </c>
      <c r="B1" s="113"/>
      <c r="G1" s="113"/>
    </row>
    <row r="2" spans="1:7" ht="12.75">
      <c r="A2" s="14" t="s">
        <v>808</v>
      </c>
      <c r="B2" s="14"/>
      <c r="G2" s="14"/>
    </row>
    <row r="3" spans="1:2" ht="12.75">
      <c r="A3" s="14" t="s">
        <v>546</v>
      </c>
      <c r="B3" s="654">
        <f>304.5973126*1000000</f>
        <v>304597312.6</v>
      </c>
    </row>
    <row r="4" spans="1:2" ht="12.75">
      <c r="A4" s="14" t="s">
        <v>547</v>
      </c>
      <c r="B4" s="654">
        <v>17000000</v>
      </c>
    </row>
    <row r="5" spans="2:9" s="505" customFormat="1" ht="51">
      <c r="B5" s="1191" t="s">
        <v>1088</v>
      </c>
      <c r="C5" s="1191"/>
      <c r="D5" s="268" t="s">
        <v>542</v>
      </c>
      <c r="E5" s="268" t="s">
        <v>541</v>
      </c>
      <c r="F5" s="346" t="s">
        <v>983</v>
      </c>
      <c r="G5" s="268" t="s">
        <v>1086</v>
      </c>
      <c r="H5" s="1237" t="s">
        <v>447</v>
      </c>
      <c r="I5" s="1237"/>
    </row>
    <row r="6" spans="2:9" ht="13.5" customHeight="1">
      <c r="B6" s="532" t="s">
        <v>543</v>
      </c>
      <c r="C6" s="532" t="s">
        <v>407</v>
      </c>
      <c r="D6" s="532" t="s">
        <v>35</v>
      </c>
      <c r="E6" s="532" t="s">
        <v>35</v>
      </c>
      <c r="F6" s="532" t="s">
        <v>407</v>
      </c>
      <c r="G6" s="532" t="s">
        <v>35</v>
      </c>
      <c r="H6" s="533" t="s">
        <v>120</v>
      </c>
      <c r="I6" s="1026" t="s">
        <v>806</v>
      </c>
    </row>
    <row r="7" spans="1:9" ht="12.75">
      <c r="A7" t="s">
        <v>437</v>
      </c>
      <c r="B7" s="281">
        <f aca="true" t="shared" si="0" ref="B7:B18">C7/$B$3</f>
        <v>0.00048578578254600133</v>
      </c>
      <c r="C7" s="15">
        <f>D7+E7</f>
        <v>147969.0438628</v>
      </c>
      <c r="D7" s="15"/>
      <c r="E7" s="15">
        <v>147969.0438628</v>
      </c>
      <c r="F7" s="15">
        <f aca="true" t="shared" si="1" ref="F7:F15">B7*$B$4</f>
        <v>8258.358303282022</v>
      </c>
      <c r="G7" s="15">
        <f>GlobalY!C36</f>
        <v>627.648012327</v>
      </c>
      <c r="H7" s="23">
        <f aca="true" t="shared" si="2" ref="H7:H13">F7/G7</f>
        <v>13.157626792546074</v>
      </c>
      <c r="I7" s="953">
        <f>H7/1000</f>
        <v>0.013157626792546074</v>
      </c>
    </row>
    <row r="8" spans="1:9" ht="12.75">
      <c r="A8" t="s">
        <v>434</v>
      </c>
      <c r="B8" s="281">
        <f t="shared" si="0"/>
        <v>1.357791681291413E-05</v>
      </c>
      <c r="C8" s="15">
        <f>D8+E8</f>
        <v>4135.796971920001</v>
      </c>
      <c r="D8" s="15"/>
      <c r="E8" s="15">
        <v>4135.796971920001</v>
      </c>
      <c r="F8" s="15">
        <f t="shared" si="1"/>
        <v>230.8245858195402</v>
      </c>
      <c r="G8" s="15">
        <f>GlobalY!C33</f>
        <v>207.9669533382</v>
      </c>
      <c r="H8" s="23">
        <f t="shared" si="2"/>
        <v>1.1099099261418166</v>
      </c>
      <c r="I8" s="953">
        <f aca="true" t="shared" si="3" ref="I8:I18">H8/1000</f>
        <v>0.0011099099261418165</v>
      </c>
    </row>
    <row r="9" spans="1:9" ht="12.75">
      <c r="A9" t="s">
        <v>443</v>
      </c>
      <c r="B9" s="281">
        <f t="shared" si="0"/>
        <v>0.0002854817037664173</v>
      </c>
      <c r="C9" s="15">
        <f aca="true" t="shared" si="4" ref="C9:C18">D9+E9</f>
        <v>86956.95976372</v>
      </c>
      <c r="D9" s="15"/>
      <c r="E9" s="15">
        <v>86956.95976372</v>
      </c>
      <c r="F9" s="15">
        <f t="shared" si="1"/>
        <v>4853.188964029094</v>
      </c>
      <c r="G9" s="15">
        <f>GlobalY!C43</f>
        <v>4434.6655438132</v>
      </c>
      <c r="H9" s="23">
        <f t="shared" si="2"/>
        <v>1.094375419314265</v>
      </c>
      <c r="I9" s="953">
        <f t="shared" si="3"/>
        <v>0.001094375419314265</v>
      </c>
    </row>
    <row r="10" spans="1:9" ht="12.75">
      <c r="A10" s="14" t="s">
        <v>544</v>
      </c>
      <c r="B10" s="281">
        <f t="shared" si="0"/>
        <v>0.0001599737910709328</v>
      </c>
      <c r="C10" s="15">
        <f t="shared" si="4"/>
        <v>48727.586846640006</v>
      </c>
      <c r="D10" s="15"/>
      <c r="E10" s="267">
        <v>48727.586846640006</v>
      </c>
      <c r="F10" s="15">
        <f t="shared" si="1"/>
        <v>2719.5544482058576</v>
      </c>
      <c r="G10" s="15">
        <f>GlobalY!C40</f>
        <v>478.3864452164</v>
      </c>
      <c r="H10" s="23">
        <f t="shared" si="2"/>
        <v>5.684848463830652</v>
      </c>
      <c r="I10" s="953">
        <f t="shared" si="3"/>
        <v>0.005684848463830652</v>
      </c>
    </row>
    <row r="11" spans="1:9" ht="12.75">
      <c r="A11" t="s">
        <v>439</v>
      </c>
      <c r="B11" s="281">
        <f t="shared" si="0"/>
        <v>0.0008995113741828857</v>
      </c>
      <c r="C11" s="15">
        <f>D11+E11</f>
        <v>273988.74722924</v>
      </c>
      <c r="D11" s="15">
        <v>103043.8</v>
      </c>
      <c r="E11" s="15">
        <v>170944.94722924</v>
      </c>
      <c r="F11" s="15">
        <f t="shared" si="1"/>
        <v>15291.693361109057</v>
      </c>
      <c r="G11" s="76">
        <f>GlobalY!C38</f>
        <v>1584.510120672</v>
      </c>
      <c r="H11" s="182">
        <f t="shared" si="2"/>
        <v>9.650738838211876</v>
      </c>
      <c r="I11" s="953">
        <f t="shared" si="3"/>
        <v>0.009650738838211876</v>
      </c>
    </row>
    <row r="12" spans="1:9" ht="12.75">
      <c r="A12" t="s">
        <v>441</v>
      </c>
      <c r="B12" s="281">
        <f t="shared" si="0"/>
        <v>9.829106915764692E-06</v>
      </c>
      <c r="C12" s="15">
        <f t="shared" si="4"/>
        <v>2993.9195518</v>
      </c>
      <c r="D12" s="15"/>
      <c r="E12" s="15">
        <v>2993.9195518</v>
      </c>
      <c r="F12" s="15">
        <f t="shared" si="1"/>
        <v>167.09481756799977</v>
      </c>
      <c r="G12" s="15">
        <f>GlobalY!C41</f>
        <v>268.0106082488</v>
      </c>
      <c r="H12" s="23">
        <f t="shared" si="2"/>
        <v>0.6234634466889537</v>
      </c>
      <c r="I12" s="953">
        <f t="shared" si="3"/>
        <v>0.0006234634466889537</v>
      </c>
    </row>
    <row r="13" spans="1:9" ht="12.75">
      <c r="A13" t="s">
        <v>442</v>
      </c>
      <c r="B13" s="281">
        <f t="shared" si="0"/>
        <v>7.646487916939028E-05</v>
      </c>
      <c r="C13" s="15">
        <f t="shared" si="4"/>
        <v>23290.99670328</v>
      </c>
      <c r="D13" s="15"/>
      <c r="E13" s="15">
        <f>4293.1851296+0+8492.39301132+10505.41856236</f>
        <v>23290.99670328</v>
      </c>
      <c r="F13" s="15">
        <f t="shared" si="1"/>
        <v>1299.9029458796347</v>
      </c>
      <c r="G13" s="15">
        <f>GlobalY!C42</f>
        <v>699.468431648</v>
      </c>
      <c r="H13" s="23">
        <f t="shared" si="2"/>
        <v>1.8584154581743826</v>
      </c>
      <c r="I13" s="953">
        <f t="shared" si="3"/>
        <v>0.0018584154581743825</v>
      </c>
    </row>
    <row r="14" spans="1:9" ht="12.75">
      <c r="A14" s="14" t="s">
        <v>545</v>
      </c>
      <c r="B14" s="281">
        <f t="shared" si="0"/>
        <v>7.007878131200557E-05</v>
      </c>
      <c r="C14" s="15">
        <f t="shared" si="4"/>
        <v>21345.80845792</v>
      </c>
      <c r="D14" s="15"/>
      <c r="E14" s="15">
        <v>21345.80845792</v>
      </c>
      <c r="F14" s="15">
        <f t="shared" si="1"/>
        <v>1191.3392823040947</v>
      </c>
      <c r="G14" s="17"/>
      <c r="H14" s="23"/>
      <c r="I14" s="953"/>
    </row>
    <row r="15" spans="1:9" ht="12.75">
      <c r="A15" t="s">
        <v>444</v>
      </c>
      <c r="B15" s="281">
        <f t="shared" si="0"/>
        <v>0.0007214575327845489</v>
      </c>
      <c r="C15" s="15">
        <f t="shared" si="4"/>
        <v>219754.02564120002</v>
      </c>
      <c r="D15" s="15">
        <v>39074</v>
      </c>
      <c r="E15" s="15">
        <v>180680.02564120002</v>
      </c>
      <c r="F15" s="15">
        <f t="shared" si="1"/>
        <v>12264.778057337331</v>
      </c>
      <c r="G15" s="15">
        <f>GlobalY!C44</f>
        <v>651.0231053234</v>
      </c>
      <c r="H15" s="23">
        <f>F15/G15</f>
        <v>18.839236206900402</v>
      </c>
      <c r="I15" s="953">
        <f t="shared" si="3"/>
        <v>0.018839236206900402</v>
      </c>
    </row>
    <row r="16" spans="1:9" ht="12.75">
      <c r="A16" t="s">
        <v>445</v>
      </c>
      <c r="B16" s="271" t="s">
        <v>984</v>
      </c>
      <c r="C16" s="271" t="s">
        <v>984</v>
      </c>
      <c r="D16" s="271" t="s">
        <v>984</v>
      </c>
      <c r="E16" s="271" t="s">
        <v>984</v>
      </c>
      <c r="F16" s="271" t="s">
        <v>984</v>
      </c>
      <c r="G16" s="15">
        <f>GlobalY!C45</f>
        <v>358.0314816586</v>
      </c>
      <c r="H16" s="23"/>
      <c r="I16" s="953"/>
    </row>
    <row r="17" spans="1:9" ht="12.75">
      <c r="A17" t="s">
        <v>435</v>
      </c>
      <c r="B17" s="281">
        <f t="shared" si="0"/>
        <v>0.0002817826649989951</v>
      </c>
      <c r="C17" s="15">
        <f>D17+E17</f>
        <v>85830.24249596</v>
      </c>
      <c r="D17" s="15"/>
      <c r="E17" s="17">
        <v>85830.24249596</v>
      </c>
      <c r="F17" s="15">
        <f>B17*$B$4</f>
        <v>4790.305304982917</v>
      </c>
      <c r="G17" s="15">
        <f>GlobalY!C34</f>
        <v>541.3742912296</v>
      </c>
      <c r="H17" s="23">
        <f>F17/G17</f>
        <v>8.848416673246348</v>
      </c>
      <c r="I17" s="953">
        <f t="shared" si="3"/>
        <v>0.008848416673246347</v>
      </c>
    </row>
    <row r="18" spans="1:9" ht="12.75">
      <c r="A18" t="s">
        <v>436</v>
      </c>
      <c r="B18" s="281">
        <f t="shared" si="0"/>
        <v>3.6363505653332544E-05</v>
      </c>
      <c r="C18" s="15">
        <f t="shared" si="4"/>
        <v>11076.22609872</v>
      </c>
      <c r="D18" s="15"/>
      <c r="E18" s="15">
        <v>11076.22609872</v>
      </c>
      <c r="F18" s="15">
        <f>B18*$B$4</f>
        <v>618.1795961066532</v>
      </c>
      <c r="G18" s="15">
        <f>GlobalY!C35</f>
        <v>632.0196900248</v>
      </c>
      <c r="H18" s="23">
        <f>F18/G18</f>
        <v>0.9781017994588054</v>
      </c>
      <c r="I18" s="953">
        <f t="shared" si="3"/>
        <v>0.0009781017994588055</v>
      </c>
    </row>
    <row r="19" spans="1:9" ht="12.75">
      <c r="A19" t="s">
        <v>438</v>
      </c>
      <c r="B19" s="271" t="s">
        <v>984</v>
      </c>
      <c r="C19" s="271" t="s">
        <v>984</v>
      </c>
      <c r="D19" s="271" t="s">
        <v>984</v>
      </c>
      <c r="E19" s="271" t="s">
        <v>984</v>
      </c>
      <c r="F19" s="271" t="s">
        <v>984</v>
      </c>
      <c r="G19" s="15">
        <f>GlobalY!C37</f>
        <v>19605.190116389</v>
      </c>
      <c r="I19" s="953"/>
    </row>
    <row r="20" spans="1:9" ht="12.75">
      <c r="A20" t="s">
        <v>440</v>
      </c>
      <c r="B20" s="271" t="s">
        <v>984</v>
      </c>
      <c r="C20" s="271" t="s">
        <v>984</v>
      </c>
      <c r="D20" s="271" t="s">
        <v>984</v>
      </c>
      <c r="E20" s="271" t="s">
        <v>984</v>
      </c>
      <c r="F20" s="271" t="s">
        <v>984</v>
      </c>
      <c r="G20" s="15">
        <f>GlobalY!C39</f>
        <v>10754.6840082368</v>
      </c>
      <c r="I20" s="953"/>
    </row>
    <row r="21" spans="1:9" ht="12.75">
      <c r="A21" s="112" t="s">
        <v>63</v>
      </c>
      <c r="B21" s="954"/>
      <c r="C21" s="277"/>
      <c r="D21" s="12"/>
      <c r="E21" s="12"/>
      <c r="F21" s="12"/>
      <c r="G21" s="12"/>
      <c r="H21" s="427">
        <f>SUM(H7:H20)</f>
        <v>61.84513302451357</v>
      </c>
      <c r="I21" s="538">
        <f>H21/1000</f>
        <v>0.061845133024513575</v>
      </c>
    </row>
    <row r="22" spans="1:9" ht="12.75">
      <c r="A22" s="19"/>
      <c r="B22" s="1025"/>
      <c r="C22" s="67"/>
      <c r="D22" s="4"/>
      <c r="E22" s="4"/>
      <c r="F22" s="4"/>
      <c r="G22" s="4"/>
      <c r="H22" s="71"/>
      <c r="I22" s="21"/>
    </row>
    <row r="23" spans="1:9" ht="12.75">
      <c r="A23" s="82" t="s">
        <v>1072</v>
      </c>
      <c r="B23" s="1025"/>
      <c r="C23" s="67"/>
      <c r="D23" s="4"/>
      <c r="E23" s="4"/>
      <c r="F23" s="4"/>
      <c r="G23" s="4"/>
      <c r="H23" s="71"/>
      <c r="I23" s="21"/>
    </row>
    <row r="24" ht="12.75">
      <c r="A24" s="14" t="s">
        <v>1089</v>
      </c>
    </row>
    <row r="25" ht="12.75">
      <c r="A25" s="14" t="s">
        <v>1090</v>
      </c>
    </row>
    <row r="26" ht="12.75">
      <c r="A26" s="14"/>
    </row>
    <row r="27" ht="12.75">
      <c r="A27" s="14" t="s">
        <v>829</v>
      </c>
    </row>
    <row r="28" ht="12.75">
      <c r="A28" s="14" t="s">
        <v>1087</v>
      </c>
    </row>
    <row r="29" ht="12.75">
      <c r="A29" s="14"/>
    </row>
  </sheetData>
  <sheetProtection/>
  <mergeCells count="2">
    <mergeCell ref="B5:C5"/>
    <mergeCell ref="H5:I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I191"/>
  <sheetViews>
    <sheetView zoomScalePageLayoutView="0" workbookViewId="0" topLeftCell="A1">
      <selection activeCell="M18" sqref="M18"/>
    </sheetView>
  </sheetViews>
  <sheetFormatPr defaultColWidth="11.421875" defaultRowHeight="12.75"/>
  <cols>
    <col min="1" max="1" width="29.7109375" style="27" customWidth="1"/>
    <col min="2" max="5" width="9.140625" style="27" customWidth="1"/>
    <col min="6" max="7" width="10.28125" style="27" customWidth="1"/>
    <col min="8" max="9" width="9.140625" style="27" customWidth="1"/>
    <col min="10" max="16384" width="11.421875" style="27" customWidth="1"/>
  </cols>
  <sheetData>
    <row r="1" spans="1:2" ht="18">
      <c r="A1" s="301" t="s">
        <v>430</v>
      </c>
      <c r="B1" s="301" t="s">
        <v>1109</v>
      </c>
    </row>
    <row r="2" spans="1:2" s="40" customFormat="1" ht="12.75">
      <c r="A2" s="14" t="s">
        <v>1136</v>
      </c>
      <c r="B2" s="8"/>
    </row>
    <row r="3" spans="1:2" s="40" customFormat="1" ht="12.75">
      <c r="A3" s="14"/>
      <c r="B3" s="8"/>
    </row>
    <row r="4" spans="1:9" ht="30" customHeight="1">
      <c r="A4" s="1035" t="s">
        <v>1104</v>
      </c>
      <c r="B4" s="1353" t="s">
        <v>1105</v>
      </c>
      <c r="C4" s="1353"/>
      <c r="D4" s="1353" t="s">
        <v>1106</v>
      </c>
      <c r="E4" s="1353"/>
      <c r="F4" s="1354" t="s">
        <v>1107</v>
      </c>
      <c r="G4" s="1355"/>
      <c r="H4" s="1353" t="s">
        <v>1108</v>
      </c>
      <c r="I4" s="1353"/>
    </row>
    <row r="5" spans="2:9" ht="12.75">
      <c r="B5" s="1036" t="s">
        <v>1110</v>
      </c>
      <c r="C5" s="1036" t="s">
        <v>99</v>
      </c>
      <c r="D5" s="1036" t="s">
        <v>1110</v>
      </c>
      <c r="E5" s="1036" t="s">
        <v>99</v>
      </c>
      <c r="F5" s="1036" t="s">
        <v>1110</v>
      </c>
      <c r="G5" s="1036" t="s">
        <v>99</v>
      </c>
      <c r="H5" s="1036" t="s">
        <v>1110</v>
      </c>
      <c r="I5" s="1036" t="s">
        <v>99</v>
      </c>
    </row>
    <row r="6" spans="2:9" ht="12.75">
      <c r="B6" s="1037"/>
      <c r="C6" s="1038">
        <v>0.0892179122</v>
      </c>
      <c r="D6" s="1039"/>
      <c r="E6" s="1038">
        <v>0.0892179122</v>
      </c>
      <c r="F6" s="1037"/>
      <c r="G6" s="1038">
        <v>0.0892179122</v>
      </c>
      <c r="H6" s="1037"/>
      <c r="I6" s="1038">
        <v>0.0892179122</v>
      </c>
    </row>
    <row r="7" spans="1:8" ht="15">
      <c r="A7" s="1040" t="s">
        <v>374</v>
      </c>
      <c r="B7" s="1037"/>
      <c r="D7" s="1037"/>
      <c r="F7" s="1037"/>
      <c r="H7" s="1037"/>
    </row>
    <row r="8" spans="1:9" ht="12.75">
      <c r="A8" t="s">
        <v>1111</v>
      </c>
      <c r="B8" s="1041">
        <v>22338</v>
      </c>
      <c r="C8" s="1">
        <f>B8*$C$6</f>
        <v>1992.9497227236</v>
      </c>
      <c r="D8" s="1041">
        <v>35716</v>
      </c>
      <c r="E8" s="1">
        <f>D8*$C$6</f>
        <v>3186.5069521351998</v>
      </c>
      <c r="F8" s="1041">
        <v>21739</v>
      </c>
      <c r="G8" s="1">
        <f>F8*$G$6</f>
        <v>1939.5081933157999</v>
      </c>
      <c r="H8" s="1041">
        <v>35700</v>
      </c>
      <c r="I8" s="1">
        <f>H8*$I$6</f>
        <v>3185.07946554</v>
      </c>
    </row>
    <row r="9" spans="1:9" ht="12.75">
      <c r="A9" t="s">
        <v>1112</v>
      </c>
      <c r="B9" s="1041">
        <v>10977</v>
      </c>
      <c r="C9" s="1">
        <f aca="true" t="shared" si="0" ref="C9:C15">B9*$C$6</f>
        <v>979.3450222194</v>
      </c>
      <c r="D9" s="1041">
        <v>12864</v>
      </c>
      <c r="E9" s="1">
        <f aca="true" t="shared" si="1" ref="E9:E15">D9*$C$6</f>
        <v>1147.6992225408</v>
      </c>
      <c r="F9" s="1041">
        <v>10000</v>
      </c>
      <c r="G9" s="1">
        <f aca="true" t="shared" si="2" ref="G9:G15">F9*$G$6</f>
        <v>892.179122</v>
      </c>
      <c r="H9" s="1041">
        <v>11581</v>
      </c>
      <c r="I9" s="1">
        <f aca="true" t="shared" si="3" ref="I9:I15">H9*$I$6</f>
        <v>1033.2326411882</v>
      </c>
    </row>
    <row r="10" spans="1:9" ht="12.75">
      <c r="A10" t="s">
        <v>1113</v>
      </c>
      <c r="B10" s="1041">
        <v>11997</v>
      </c>
      <c r="C10" s="1">
        <f t="shared" si="0"/>
        <v>1070.3472926634</v>
      </c>
      <c r="D10" s="1041">
        <v>19556</v>
      </c>
      <c r="E10" s="1">
        <f t="shared" si="1"/>
        <v>1744.7454909832</v>
      </c>
      <c r="F10" s="1041">
        <v>11612</v>
      </c>
      <c r="G10" s="1">
        <f t="shared" si="2"/>
        <v>1035.9983964664</v>
      </c>
      <c r="H10" s="1041">
        <v>19157</v>
      </c>
      <c r="I10" s="1">
        <f t="shared" si="3"/>
        <v>1709.1475440154</v>
      </c>
    </row>
    <row r="11" spans="1:9" ht="12.75">
      <c r="A11" t="s">
        <v>1114</v>
      </c>
      <c r="B11" s="1041">
        <v>4262</v>
      </c>
      <c r="C11" s="1">
        <f t="shared" si="0"/>
        <v>380.2467417964</v>
      </c>
      <c r="D11" s="1041">
        <v>4229</v>
      </c>
      <c r="E11" s="1">
        <f t="shared" si="1"/>
        <v>377.3025506938</v>
      </c>
      <c r="F11" s="1041">
        <v>4262</v>
      </c>
      <c r="G11" s="1">
        <f t="shared" si="2"/>
        <v>380.2467417964</v>
      </c>
      <c r="H11" s="1041">
        <v>4229</v>
      </c>
      <c r="I11" s="1">
        <f t="shared" si="3"/>
        <v>377.3025506938</v>
      </c>
    </row>
    <row r="12" spans="1:9" ht="12.75">
      <c r="A12" t="s">
        <v>1115</v>
      </c>
      <c r="B12" s="1041">
        <v>6638</v>
      </c>
      <c r="C12" s="1">
        <f t="shared" si="0"/>
        <v>592.2285011836</v>
      </c>
      <c r="D12" s="1041">
        <v>11576</v>
      </c>
      <c r="E12" s="1">
        <f t="shared" si="1"/>
        <v>1032.7865516272</v>
      </c>
      <c r="F12" s="1041">
        <v>6638</v>
      </c>
      <c r="G12" s="1">
        <f t="shared" si="2"/>
        <v>592.2285011836</v>
      </c>
      <c r="H12" s="1041">
        <v>11576</v>
      </c>
      <c r="I12" s="1">
        <f t="shared" si="3"/>
        <v>1032.7865516272</v>
      </c>
    </row>
    <row r="13" spans="1:9" ht="12.75">
      <c r="A13" t="s">
        <v>993</v>
      </c>
      <c r="B13" s="1041">
        <v>18661</v>
      </c>
      <c r="C13" s="1">
        <f t="shared" si="0"/>
        <v>1664.8954595641999</v>
      </c>
      <c r="D13" s="1041">
        <v>24019</v>
      </c>
      <c r="E13" s="1">
        <f t="shared" si="1"/>
        <v>2142.9250331318</v>
      </c>
      <c r="F13" s="1041">
        <v>18661</v>
      </c>
      <c r="G13" s="1">
        <f t="shared" si="2"/>
        <v>1664.8954595641999</v>
      </c>
      <c r="H13" s="1041">
        <v>24019</v>
      </c>
      <c r="I13" s="1">
        <f t="shared" si="3"/>
        <v>2142.9250331318</v>
      </c>
    </row>
    <row r="14" spans="1:9" ht="12.75">
      <c r="A14" t="s">
        <v>1116</v>
      </c>
      <c r="B14" s="1041">
        <v>11288</v>
      </c>
      <c r="C14" s="1">
        <f t="shared" si="0"/>
        <v>1007.0917929136</v>
      </c>
      <c r="D14" s="1041">
        <v>15799</v>
      </c>
      <c r="E14" s="1">
        <f t="shared" si="1"/>
        <v>1409.5537948478</v>
      </c>
      <c r="F14" s="1041">
        <v>11229</v>
      </c>
      <c r="G14" s="1">
        <f t="shared" si="2"/>
        <v>1001.8279360938</v>
      </c>
      <c r="H14" s="1041">
        <v>15635</v>
      </c>
      <c r="I14" s="1">
        <f t="shared" si="3"/>
        <v>1394.9220572469999</v>
      </c>
    </row>
    <row r="15" spans="1:9" ht="12.75">
      <c r="A15" t="s">
        <v>1117</v>
      </c>
      <c r="B15" s="1041">
        <v>11486</v>
      </c>
      <c r="C15" s="1">
        <f t="shared" si="0"/>
        <v>1024.7569395292</v>
      </c>
      <c r="D15" s="1041">
        <v>13432</v>
      </c>
      <c r="E15" s="1">
        <f t="shared" si="1"/>
        <v>1198.3749966704</v>
      </c>
      <c r="F15" s="1041">
        <v>11169</v>
      </c>
      <c r="G15" s="1">
        <f t="shared" si="2"/>
        <v>996.4748613618</v>
      </c>
      <c r="H15" s="1041">
        <v>12912</v>
      </c>
      <c r="I15" s="1">
        <f t="shared" si="3"/>
        <v>1151.9816823264</v>
      </c>
    </row>
    <row r="16" spans="2:8" ht="12.75">
      <c r="B16" s="1037"/>
      <c r="D16" s="1037"/>
      <c r="F16" s="1037"/>
      <c r="H16" s="1037"/>
    </row>
    <row r="17" spans="1:8" ht="15">
      <c r="A17" s="1040" t="s">
        <v>197</v>
      </c>
      <c r="B17" s="1037"/>
      <c r="D17" s="1037"/>
      <c r="F17" s="1037"/>
      <c r="H17" s="1037"/>
    </row>
    <row r="18" spans="1:9" ht="12.75">
      <c r="A18" t="s">
        <v>418</v>
      </c>
      <c r="B18" s="1041">
        <v>93774</v>
      </c>
      <c r="C18" s="1">
        <f aca="true" t="shared" si="4" ref="C18:C30">B18*$C$6</f>
        <v>8366.320498642799</v>
      </c>
      <c r="D18" s="1041">
        <v>112910</v>
      </c>
      <c r="E18" s="1">
        <f aca="true" t="shared" si="5" ref="E18:E30">D18*$C$6</f>
        <v>10073.594466502</v>
      </c>
      <c r="F18" s="1041">
        <v>92960</v>
      </c>
      <c r="G18" s="1">
        <f aca="true" t="shared" si="6" ref="G18:G30">F18*$G$6</f>
        <v>8293.697118112</v>
      </c>
      <c r="H18" s="1041">
        <v>111038</v>
      </c>
      <c r="I18" s="1">
        <f aca="true" t="shared" si="7" ref="I18:I30">H18*$I$6</f>
        <v>9906.5785348636</v>
      </c>
    </row>
    <row r="19" spans="1:9" ht="12.75">
      <c r="A19" t="s">
        <v>1119</v>
      </c>
      <c r="B19" s="1041">
        <v>117647</v>
      </c>
      <c r="C19" s="1">
        <f t="shared" si="4"/>
        <v>10496.2197165934</v>
      </c>
      <c r="D19" s="1041">
        <v>158919</v>
      </c>
      <c r="E19" s="1">
        <f t="shared" si="5"/>
        <v>14178.4213889118</v>
      </c>
      <c r="F19" s="1041">
        <v>116667</v>
      </c>
      <c r="G19" s="1">
        <f t="shared" si="6"/>
        <v>10408.7861626374</v>
      </c>
      <c r="H19" s="1041">
        <v>156028</v>
      </c>
      <c r="I19" s="1">
        <f t="shared" si="7"/>
        <v>13920.4924047416</v>
      </c>
    </row>
    <row r="20" spans="1:9" ht="12.75">
      <c r="A20" t="s">
        <v>1118</v>
      </c>
      <c r="B20" s="1041">
        <v>120837</v>
      </c>
      <c r="C20" s="1">
        <f t="shared" si="4"/>
        <v>10780.824856511399</v>
      </c>
      <c r="D20" s="1041">
        <v>135234</v>
      </c>
      <c r="E20" s="1">
        <f t="shared" si="5"/>
        <v>12065.2951384548</v>
      </c>
      <c r="F20" s="1041">
        <v>120110</v>
      </c>
      <c r="G20" s="1">
        <f t="shared" si="6"/>
        <v>10715.963434342</v>
      </c>
      <c r="H20" s="1041">
        <v>133346</v>
      </c>
      <c r="I20" s="1">
        <f t="shared" si="7"/>
        <v>11896.8517202212</v>
      </c>
    </row>
    <row r="21" spans="1:9" ht="12.75">
      <c r="A21" t="s">
        <v>417</v>
      </c>
      <c r="B21" s="1041">
        <v>88997</v>
      </c>
      <c r="C21" s="1">
        <f t="shared" si="4"/>
        <v>7940.1265320634</v>
      </c>
      <c r="D21" s="1041">
        <v>109639</v>
      </c>
      <c r="E21" s="1">
        <f t="shared" si="5"/>
        <v>9781.7626756958</v>
      </c>
      <c r="F21" s="1041">
        <v>88462</v>
      </c>
      <c r="G21" s="1">
        <f t="shared" si="6"/>
        <v>7892.3949490364</v>
      </c>
      <c r="H21" s="1041">
        <v>107571</v>
      </c>
      <c r="I21" s="1">
        <f t="shared" si="7"/>
        <v>9597.2600332662</v>
      </c>
    </row>
    <row r="22" spans="1:9" ht="12.75">
      <c r="A22" t="s">
        <v>410</v>
      </c>
      <c r="B22" s="1041">
        <v>114286</v>
      </c>
      <c r="C22" s="1">
        <f t="shared" si="4"/>
        <v>10196.3583136892</v>
      </c>
      <c r="D22" s="1041">
        <v>162866</v>
      </c>
      <c r="E22" s="1">
        <f t="shared" si="5"/>
        <v>14530.5644883652</v>
      </c>
      <c r="F22" s="1041">
        <v>112363</v>
      </c>
      <c r="G22" s="1">
        <f t="shared" si="6"/>
        <v>10024.7922685286</v>
      </c>
      <c r="H22" s="1041">
        <v>162590</v>
      </c>
      <c r="I22" s="1">
        <f t="shared" si="7"/>
        <v>14505.940344598</v>
      </c>
    </row>
    <row r="23" spans="1:9" ht="12.75">
      <c r="A23" t="s">
        <v>415</v>
      </c>
      <c r="B23" s="1041">
        <v>141980</v>
      </c>
      <c r="C23" s="1">
        <f t="shared" si="4"/>
        <v>12667.159174156</v>
      </c>
      <c r="D23" s="1041">
        <v>194983</v>
      </c>
      <c r="E23" s="1">
        <f t="shared" si="5"/>
        <v>17395.9761744926</v>
      </c>
      <c r="F23" s="1041">
        <v>141280</v>
      </c>
      <c r="G23" s="1">
        <f t="shared" si="6"/>
        <v>12604.706635616</v>
      </c>
      <c r="H23" s="1041">
        <v>193123</v>
      </c>
      <c r="I23" s="1">
        <f t="shared" si="7"/>
        <v>17230.0308578006</v>
      </c>
    </row>
    <row r="24" spans="1:9" ht="12.75">
      <c r="A24" t="s">
        <v>1120</v>
      </c>
      <c r="B24" s="1041">
        <v>66667</v>
      </c>
      <c r="C24" s="1">
        <f t="shared" si="4"/>
        <v>5947.8905526374</v>
      </c>
      <c r="D24" s="1041">
        <v>85767</v>
      </c>
      <c r="E24" s="1">
        <f t="shared" si="5"/>
        <v>7651.9526756574</v>
      </c>
      <c r="F24" s="1041">
        <v>66667</v>
      </c>
      <c r="G24" s="1">
        <f t="shared" si="6"/>
        <v>5947.8905526374</v>
      </c>
      <c r="H24" s="1041">
        <v>85944</v>
      </c>
      <c r="I24" s="1">
        <f t="shared" si="7"/>
        <v>7667.7442461168</v>
      </c>
    </row>
    <row r="25" spans="1:9" ht="12.75">
      <c r="A25" t="s">
        <v>427</v>
      </c>
      <c r="B25" s="1041">
        <v>17844</v>
      </c>
      <c r="C25" s="1">
        <f t="shared" si="4"/>
        <v>1592.0044252968</v>
      </c>
      <c r="D25" s="1041">
        <v>22618</v>
      </c>
      <c r="E25" s="1">
        <f t="shared" si="5"/>
        <v>2017.9307381396</v>
      </c>
      <c r="F25" s="1041">
        <v>17523</v>
      </c>
      <c r="G25" s="1">
        <f t="shared" si="6"/>
        <v>1563.3654754806</v>
      </c>
      <c r="H25" s="1041">
        <v>21399</v>
      </c>
      <c r="I25" s="1">
        <f t="shared" si="7"/>
        <v>1909.1741031678</v>
      </c>
    </row>
    <row r="26" spans="1:9" ht="12.75">
      <c r="A26" t="s">
        <v>1121</v>
      </c>
      <c r="B26" s="1041">
        <v>77455</v>
      </c>
      <c r="C26" s="1">
        <f t="shared" si="4"/>
        <v>6910.373389451</v>
      </c>
      <c r="D26" s="1041">
        <v>95347</v>
      </c>
      <c r="E26" s="1">
        <f t="shared" si="5"/>
        <v>8506.6602745334</v>
      </c>
      <c r="F26" s="1041">
        <v>77455</v>
      </c>
      <c r="G26" s="1">
        <f t="shared" si="6"/>
        <v>6910.373389451</v>
      </c>
      <c r="H26" s="1041">
        <v>95347</v>
      </c>
      <c r="I26" s="1">
        <f t="shared" si="7"/>
        <v>8506.6602745334</v>
      </c>
    </row>
    <row r="27" spans="1:9" ht="12.75">
      <c r="A27" t="s">
        <v>1122</v>
      </c>
      <c r="B27" s="1041">
        <v>154729</v>
      </c>
      <c r="C27" s="1">
        <f t="shared" si="4"/>
        <v>13804.5983367938</v>
      </c>
      <c r="D27" s="1041">
        <v>207472</v>
      </c>
      <c r="E27" s="1">
        <f t="shared" si="5"/>
        <v>18510.2186799584</v>
      </c>
      <c r="F27" s="1041">
        <v>153092</v>
      </c>
      <c r="G27" s="1">
        <f t="shared" si="6"/>
        <v>13658.5486145224</v>
      </c>
      <c r="H27" s="1041">
        <v>206063</v>
      </c>
      <c r="I27" s="1">
        <f t="shared" si="7"/>
        <v>18384.5106416686</v>
      </c>
    </row>
    <row r="28" spans="1:9" ht="12.75">
      <c r="A28" t="s">
        <v>465</v>
      </c>
      <c r="B28" s="1041">
        <v>45170</v>
      </c>
      <c r="C28" s="1">
        <f t="shared" si="4"/>
        <v>4029.973094074</v>
      </c>
      <c r="D28" s="1041">
        <v>64271</v>
      </c>
      <c r="E28" s="1">
        <f t="shared" si="5"/>
        <v>5734.1244350062</v>
      </c>
      <c r="F28" s="1041">
        <v>43818</v>
      </c>
      <c r="G28" s="1">
        <f t="shared" si="6"/>
        <v>3909.3504767796</v>
      </c>
      <c r="H28" s="1041">
        <v>63814</v>
      </c>
      <c r="I28" s="1">
        <f t="shared" si="7"/>
        <v>5693.3518491308</v>
      </c>
    </row>
    <row r="29" spans="1:9" ht="12.75">
      <c r="A29" t="s">
        <v>1123</v>
      </c>
      <c r="B29" s="1041">
        <v>75006</v>
      </c>
      <c r="C29" s="1">
        <f t="shared" si="4"/>
        <v>6691.8787224732</v>
      </c>
      <c r="D29" s="1041">
        <v>90503</v>
      </c>
      <c r="E29" s="1">
        <f t="shared" si="5"/>
        <v>8074.4887078366</v>
      </c>
      <c r="F29" s="1041">
        <v>75455</v>
      </c>
      <c r="G29" s="1">
        <f t="shared" si="6"/>
        <v>6731.937565051</v>
      </c>
      <c r="H29" s="1041">
        <v>91009</v>
      </c>
      <c r="I29" s="1">
        <f t="shared" si="7"/>
        <v>8119.6329714098</v>
      </c>
    </row>
    <row r="30" spans="1:9" ht="12.75">
      <c r="A30" t="s">
        <v>1124</v>
      </c>
      <c r="B30" s="1041">
        <v>133174</v>
      </c>
      <c r="C30" s="1">
        <f t="shared" si="4"/>
        <v>11881.5062393228</v>
      </c>
      <c r="D30" s="1041">
        <v>137708</v>
      </c>
      <c r="E30" s="1">
        <f t="shared" si="5"/>
        <v>12286.0202532376</v>
      </c>
      <c r="F30" s="1041">
        <v>133333</v>
      </c>
      <c r="G30" s="1">
        <f t="shared" si="6"/>
        <v>11895.6918873626</v>
      </c>
      <c r="H30" s="1041">
        <v>137657</v>
      </c>
      <c r="I30" s="1">
        <f t="shared" si="7"/>
        <v>12281.4701397154</v>
      </c>
    </row>
    <row r="31" spans="2:8" ht="12.75">
      <c r="B31" s="1037"/>
      <c r="D31" s="1037"/>
      <c r="F31" s="1037"/>
      <c r="H31" s="1037"/>
    </row>
    <row r="32" spans="1:8" ht="15">
      <c r="A32" s="1040" t="s">
        <v>452</v>
      </c>
      <c r="B32" s="1037"/>
      <c r="D32" s="1037"/>
      <c r="F32" s="1037"/>
      <c r="H32" s="1037"/>
    </row>
    <row r="33" spans="1:9" ht="12.75">
      <c r="A33" t="s">
        <v>434</v>
      </c>
      <c r="B33" s="1041">
        <v>2331</v>
      </c>
      <c r="C33" s="1">
        <f aca="true" t="shared" si="8" ref="C33:C45">B33*$C$6</f>
        <v>207.9669533382</v>
      </c>
      <c r="D33" s="1041">
        <v>2877</v>
      </c>
      <c r="E33" s="1">
        <f aca="true" t="shared" si="9" ref="E33:E45">D33*$C$6</f>
        <v>256.6799333994</v>
      </c>
      <c r="F33" s="1041">
        <v>2331</v>
      </c>
      <c r="G33" s="1">
        <f>F33*$G$6</f>
        <v>207.9669533382</v>
      </c>
      <c r="H33" s="1041">
        <v>2877</v>
      </c>
      <c r="I33" s="1">
        <f>H33*$I$6</f>
        <v>256.6799333994</v>
      </c>
    </row>
    <row r="34" spans="1:9" ht="12.75">
      <c r="A34" t="s">
        <v>435</v>
      </c>
      <c r="B34" s="1041">
        <v>6068</v>
      </c>
      <c r="C34" s="1">
        <f t="shared" si="8"/>
        <v>541.3742912296</v>
      </c>
      <c r="D34" s="1041">
        <v>7703</v>
      </c>
      <c r="E34" s="1">
        <f t="shared" si="9"/>
        <v>687.2455776766</v>
      </c>
      <c r="F34" s="1041">
        <v>6068</v>
      </c>
      <c r="G34" s="1">
        <f aca="true" t="shared" si="10" ref="G34:G45">F34*$G$6</f>
        <v>541.3742912296</v>
      </c>
      <c r="H34" s="1041">
        <v>7703</v>
      </c>
      <c r="I34" s="1">
        <f aca="true" t="shared" si="11" ref="I34:I45">H34*$I$6</f>
        <v>687.2455776766</v>
      </c>
    </row>
    <row r="35" spans="1:9" ht="12.75">
      <c r="A35" t="s">
        <v>436</v>
      </c>
      <c r="B35" s="1041">
        <v>7084</v>
      </c>
      <c r="C35" s="1">
        <f t="shared" si="8"/>
        <v>632.0196900248</v>
      </c>
      <c r="D35" s="1041">
        <v>19826</v>
      </c>
      <c r="E35" s="1">
        <f t="shared" si="9"/>
        <v>1768.8343272772</v>
      </c>
      <c r="F35" s="1041">
        <v>7084</v>
      </c>
      <c r="G35" s="1">
        <f t="shared" si="10"/>
        <v>632.0196900248</v>
      </c>
      <c r="H35" s="1041">
        <v>19826</v>
      </c>
      <c r="I35" s="1">
        <f t="shared" si="11"/>
        <v>1768.8343272772</v>
      </c>
    </row>
    <row r="36" spans="1:9" ht="12.75">
      <c r="A36" t="s">
        <v>437</v>
      </c>
      <c r="B36" s="1041">
        <v>7035</v>
      </c>
      <c r="C36" s="1">
        <f t="shared" si="8"/>
        <v>627.648012327</v>
      </c>
      <c r="D36" s="1041">
        <v>13375</v>
      </c>
      <c r="E36" s="1">
        <f t="shared" si="9"/>
        <v>1193.289575675</v>
      </c>
      <c r="F36" s="1041">
        <v>7035</v>
      </c>
      <c r="G36" s="1">
        <f t="shared" si="10"/>
        <v>627.648012327</v>
      </c>
      <c r="H36" s="1041">
        <v>13375</v>
      </c>
      <c r="I36" s="1">
        <f t="shared" si="11"/>
        <v>1193.289575675</v>
      </c>
    </row>
    <row r="37" spans="1:9" ht="12.75">
      <c r="A37" t="s">
        <v>438</v>
      </c>
      <c r="B37" s="1041">
        <v>219745</v>
      </c>
      <c r="C37" s="1">
        <f t="shared" si="8"/>
        <v>19605.190116389</v>
      </c>
      <c r="D37" s="1041">
        <v>213007</v>
      </c>
      <c r="E37" s="1">
        <f t="shared" si="9"/>
        <v>19004.0398239854</v>
      </c>
      <c r="F37" s="1041">
        <v>219745</v>
      </c>
      <c r="G37" s="1">
        <f t="shared" si="10"/>
        <v>19605.190116389</v>
      </c>
      <c r="H37" s="1041">
        <v>213007</v>
      </c>
      <c r="I37" s="1">
        <f t="shared" si="11"/>
        <v>19004.0398239854</v>
      </c>
    </row>
    <row r="38" spans="1:9" ht="12.75">
      <c r="A38" t="s">
        <v>439</v>
      </c>
      <c r="B38" s="1041">
        <v>17760</v>
      </c>
      <c r="C38" s="1">
        <f t="shared" si="8"/>
        <v>1584.510120672</v>
      </c>
      <c r="D38" s="1041">
        <v>30111</v>
      </c>
      <c r="E38" s="1">
        <f t="shared" si="9"/>
        <v>2686.4405542542</v>
      </c>
      <c r="F38" s="1041">
        <v>17760</v>
      </c>
      <c r="G38" s="1">
        <f t="shared" si="10"/>
        <v>1584.510120672</v>
      </c>
      <c r="H38" s="1041">
        <v>30111</v>
      </c>
      <c r="I38" s="1">
        <f t="shared" si="11"/>
        <v>2686.4405542542</v>
      </c>
    </row>
    <row r="39" spans="1:9" ht="12.75">
      <c r="A39" t="s">
        <v>440</v>
      </c>
      <c r="B39" s="1041">
        <v>120544</v>
      </c>
      <c r="C39" s="1">
        <f t="shared" si="8"/>
        <v>10754.6840082368</v>
      </c>
      <c r="D39" s="1041">
        <v>226596</v>
      </c>
      <c r="E39" s="1">
        <f t="shared" si="9"/>
        <v>20216.4220328712</v>
      </c>
      <c r="F39" s="1041">
        <v>119568</v>
      </c>
      <c r="G39" s="1">
        <f t="shared" si="10"/>
        <v>10667.607325929599</v>
      </c>
      <c r="H39" s="1041">
        <v>226124</v>
      </c>
      <c r="I39" s="1">
        <f t="shared" si="11"/>
        <v>20174.3111783128</v>
      </c>
    </row>
    <row r="40" spans="1:9" ht="12.75">
      <c r="A40" t="s">
        <v>1125</v>
      </c>
      <c r="B40" s="1041">
        <v>5362</v>
      </c>
      <c r="C40" s="1">
        <f t="shared" si="8"/>
        <v>478.3864452164</v>
      </c>
      <c r="D40" s="1041">
        <v>7689</v>
      </c>
      <c r="E40" s="1">
        <f t="shared" si="9"/>
        <v>685.9965269058</v>
      </c>
      <c r="F40" s="1041">
        <v>5362</v>
      </c>
      <c r="G40" s="1">
        <f t="shared" si="10"/>
        <v>478.3864452164</v>
      </c>
      <c r="H40" s="1041">
        <v>7689</v>
      </c>
      <c r="I40" s="1">
        <f t="shared" si="11"/>
        <v>685.9965269058</v>
      </c>
    </row>
    <row r="41" spans="1:9" ht="12.75">
      <c r="A41" t="s">
        <v>441</v>
      </c>
      <c r="B41" s="1041">
        <v>3004</v>
      </c>
      <c r="C41" s="1">
        <f t="shared" si="8"/>
        <v>268.0106082488</v>
      </c>
      <c r="D41" s="1041">
        <v>4618</v>
      </c>
      <c r="E41" s="1">
        <f t="shared" si="9"/>
        <v>412.0083185396</v>
      </c>
      <c r="F41" s="1041">
        <v>3004</v>
      </c>
      <c r="G41" s="1">
        <f>F41*$G$6</f>
        <v>268.0106082488</v>
      </c>
      <c r="H41" s="1041">
        <v>4618</v>
      </c>
      <c r="I41" s="1">
        <f>H41*$I$6</f>
        <v>412.0083185396</v>
      </c>
    </row>
    <row r="42" spans="1:9" ht="12.75">
      <c r="A42" t="s">
        <v>442</v>
      </c>
      <c r="B42" s="1041">
        <v>7840</v>
      </c>
      <c r="C42" s="1">
        <f t="shared" si="8"/>
        <v>699.468431648</v>
      </c>
      <c r="D42" s="1041">
        <v>12721</v>
      </c>
      <c r="E42" s="1">
        <f t="shared" si="9"/>
        <v>1134.9410610962</v>
      </c>
      <c r="F42" s="1041">
        <v>7840</v>
      </c>
      <c r="G42" s="1">
        <f t="shared" si="10"/>
        <v>699.468431648</v>
      </c>
      <c r="H42" s="1041">
        <v>12721</v>
      </c>
      <c r="I42" s="1">
        <f t="shared" si="11"/>
        <v>1134.9410610962</v>
      </c>
    </row>
    <row r="43" spans="1:9" ht="12.75">
      <c r="A43" t="s">
        <v>443</v>
      </c>
      <c r="B43" s="1041">
        <v>49706</v>
      </c>
      <c r="C43" s="1">
        <f t="shared" si="8"/>
        <v>4434.6655438132</v>
      </c>
      <c r="D43" s="1041">
        <v>88489</v>
      </c>
      <c r="E43" s="1">
        <f t="shared" si="9"/>
        <v>7894.8038326658</v>
      </c>
      <c r="F43" s="1041">
        <v>47227</v>
      </c>
      <c r="G43" s="1">
        <f t="shared" si="10"/>
        <v>4213.4943394694</v>
      </c>
      <c r="H43" s="1041">
        <v>76696</v>
      </c>
      <c r="I43" s="1">
        <f t="shared" si="11"/>
        <v>6842.6569940911995</v>
      </c>
    </row>
    <row r="44" spans="1:9" ht="12.75">
      <c r="A44" t="s">
        <v>444</v>
      </c>
      <c r="B44" s="1041">
        <v>7297</v>
      </c>
      <c r="C44" s="1">
        <f t="shared" si="8"/>
        <v>651.0231053234</v>
      </c>
      <c r="D44" s="1041">
        <v>17055</v>
      </c>
      <c r="E44" s="1">
        <f t="shared" si="9"/>
        <v>1521.6114925709999</v>
      </c>
      <c r="F44" s="1041">
        <v>7207</v>
      </c>
      <c r="G44" s="1">
        <f t="shared" si="10"/>
        <v>642.9934932254</v>
      </c>
      <c r="H44" s="1041">
        <v>17453</v>
      </c>
      <c r="I44" s="1">
        <f t="shared" si="11"/>
        <v>1557.1202216266</v>
      </c>
    </row>
    <row r="45" spans="1:9" ht="12.75">
      <c r="A45" t="s">
        <v>445</v>
      </c>
      <c r="B45" s="1041">
        <v>4013</v>
      </c>
      <c r="C45" s="1">
        <f t="shared" si="8"/>
        <v>358.0314816586</v>
      </c>
      <c r="D45" s="1041">
        <v>5314</v>
      </c>
      <c r="E45" s="1">
        <f t="shared" si="9"/>
        <v>474.1039854308</v>
      </c>
      <c r="F45" s="1041">
        <v>4013</v>
      </c>
      <c r="G45" s="1">
        <f t="shared" si="10"/>
        <v>358.0314816586</v>
      </c>
      <c r="H45" s="1041">
        <v>5314</v>
      </c>
      <c r="I45" s="1">
        <f t="shared" si="11"/>
        <v>474.1039854308</v>
      </c>
    </row>
    <row r="46" spans="2:8" ht="12.75">
      <c r="B46" s="1037"/>
      <c r="D46" s="1037"/>
      <c r="F46" s="1037"/>
      <c r="H46" s="1037"/>
    </row>
    <row r="47" spans="1:8" ht="15">
      <c r="A47" s="1040" t="s">
        <v>751</v>
      </c>
      <c r="B47" s="1037"/>
      <c r="D47" s="1037"/>
      <c r="F47" s="1037"/>
      <c r="H47" s="1037"/>
    </row>
    <row r="48" spans="1:9" ht="12.75">
      <c r="A48" t="s">
        <v>1126</v>
      </c>
      <c r="B48" s="1041">
        <v>31250</v>
      </c>
      <c r="C48" s="1">
        <f>B48*$C$6</f>
        <v>2788.05975625</v>
      </c>
      <c r="D48" s="1041">
        <v>34845</v>
      </c>
      <c r="E48" s="1">
        <f>D48*$C$6</f>
        <v>3108.798150609</v>
      </c>
      <c r="F48" s="1041">
        <v>31106</v>
      </c>
      <c r="G48" s="1">
        <f>F48*$G$6</f>
        <v>2775.2123768932</v>
      </c>
      <c r="H48" s="1041">
        <v>34486</v>
      </c>
      <c r="I48" s="1">
        <f>H48*$I$6</f>
        <v>3076.7689201292</v>
      </c>
    </row>
    <row r="49" spans="2:8" ht="12.75">
      <c r="B49" s="1037"/>
      <c r="D49" s="1037"/>
      <c r="F49" s="1037"/>
      <c r="H49" s="1037"/>
    </row>
    <row r="50" spans="1:8" ht="15">
      <c r="A50" s="1040" t="s">
        <v>1127</v>
      </c>
      <c r="B50" s="1037"/>
      <c r="D50" s="1037"/>
      <c r="F50" s="1037"/>
      <c r="H50" s="1037"/>
    </row>
    <row r="51" spans="1:9" ht="12.75">
      <c r="A51" t="s">
        <v>1128</v>
      </c>
      <c r="B51" s="1041">
        <v>433183</v>
      </c>
      <c r="C51" s="1">
        <f aca="true" t="shared" si="12" ref="C51:C58">B51*$C$6</f>
        <v>38647.6828605326</v>
      </c>
      <c r="D51" s="1041">
        <v>419451</v>
      </c>
      <c r="E51" s="1">
        <f aca="true" t="shared" si="13" ref="E51:E58">D51*$C$6</f>
        <v>37422.5424902022</v>
      </c>
      <c r="F51" s="1041">
        <v>427376</v>
      </c>
      <c r="G51" s="1">
        <f aca="true" t="shared" si="14" ref="G51:G58">F51*$G$6</f>
        <v>38129.5944443872</v>
      </c>
      <c r="H51" s="1041">
        <v>416521</v>
      </c>
      <c r="I51" s="1">
        <f aca="true" t="shared" si="15" ref="I51:I58">H51*$I$6</f>
        <v>37161.1340074562</v>
      </c>
    </row>
    <row r="52" spans="1:9" ht="12.75">
      <c r="A52" t="s">
        <v>1129</v>
      </c>
      <c r="B52" s="1041">
        <v>590949</v>
      </c>
      <c r="C52" s="1">
        <f t="shared" si="12"/>
        <v>52723.2359966778</v>
      </c>
      <c r="D52" s="1041">
        <v>581737</v>
      </c>
      <c r="E52" s="1">
        <f t="shared" si="13"/>
        <v>51901.3605894914</v>
      </c>
      <c r="F52" s="1041">
        <v>587516</v>
      </c>
      <c r="G52" s="1">
        <f t="shared" si="14"/>
        <v>52416.950904095196</v>
      </c>
      <c r="H52" s="1041">
        <v>579673</v>
      </c>
      <c r="I52" s="1">
        <f t="shared" si="15"/>
        <v>51717.2148187106</v>
      </c>
    </row>
    <row r="53" spans="1:9" ht="12.75">
      <c r="A53" t="s">
        <v>432</v>
      </c>
      <c r="B53" s="1041">
        <v>15556</v>
      </c>
      <c r="C53" s="1">
        <f t="shared" si="12"/>
        <v>1387.8738421832</v>
      </c>
      <c r="D53" s="1041">
        <v>16720</v>
      </c>
      <c r="E53" s="1">
        <f t="shared" si="13"/>
        <v>1491.723491984</v>
      </c>
      <c r="F53" s="1041">
        <v>15556</v>
      </c>
      <c r="G53" s="1">
        <f t="shared" si="14"/>
        <v>1387.8738421832</v>
      </c>
      <c r="H53" s="1041">
        <v>16720</v>
      </c>
      <c r="I53" s="1">
        <f t="shared" si="15"/>
        <v>1491.723491984</v>
      </c>
    </row>
    <row r="54" spans="1:9" ht="12.75">
      <c r="A54" t="s">
        <v>1130</v>
      </c>
      <c r="B54" s="1041">
        <v>3520</v>
      </c>
      <c r="C54" s="1">
        <f t="shared" si="12"/>
        <v>314.047050944</v>
      </c>
      <c r="D54" s="1041">
        <v>4396</v>
      </c>
      <c r="E54" s="1">
        <f t="shared" si="13"/>
        <v>392.2019420312</v>
      </c>
      <c r="F54" s="1041">
        <v>3520</v>
      </c>
      <c r="G54" s="1">
        <f t="shared" si="14"/>
        <v>314.047050944</v>
      </c>
      <c r="H54" s="1041">
        <v>4396</v>
      </c>
      <c r="I54" s="1">
        <f t="shared" si="15"/>
        <v>392.2019420312</v>
      </c>
    </row>
    <row r="55" spans="1:9" ht="12.75">
      <c r="A55" t="s">
        <v>1131</v>
      </c>
      <c r="B55" s="1041">
        <v>41912</v>
      </c>
      <c r="C55" s="1">
        <f t="shared" si="12"/>
        <v>3739.3011361264</v>
      </c>
      <c r="D55" s="1041">
        <v>47021</v>
      </c>
      <c r="E55" s="1">
        <f t="shared" si="13"/>
        <v>4195.1154495562</v>
      </c>
      <c r="F55" s="1041">
        <v>41912</v>
      </c>
      <c r="G55" s="1">
        <f t="shared" si="14"/>
        <v>3739.3011361264</v>
      </c>
      <c r="H55" s="1041">
        <v>47021</v>
      </c>
      <c r="I55" s="1">
        <f t="shared" si="15"/>
        <v>4195.1154495562</v>
      </c>
    </row>
    <row r="56" spans="1:9" ht="12.75">
      <c r="A56" t="s">
        <v>433</v>
      </c>
      <c r="B56" s="1041">
        <v>5216</v>
      </c>
      <c r="C56" s="1">
        <f t="shared" si="12"/>
        <v>465.3606300352</v>
      </c>
      <c r="D56" s="1041">
        <v>6865</v>
      </c>
      <c r="E56" s="1">
        <f t="shared" si="13"/>
        <v>612.480967253</v>
      </c>
      <c r="F56" s="1041">
        <v>5190</v>
      </c>
      <c r="G56" s="1">
        <f t="shared" si="14"/>
        <v>463.040964318</v>
      </c>
      <c r="H56" s="1041">
        <v>6768</v>
      </c>
      <c r="I56" s="1">
        <f t="shared" si="15"/>
        <v>603.8268297696</v>
      </c>
    </row>
    <row r="57" spans="1:9" ht="12.75">
      <c r="A57" t="s">
        <v>1132</v>
      </c>
      <c r="B57" s="1041">
        <v>17567</v>
      </c>
      <c r="C57" s="1">
        <f t="shared" si="12"/>
        <v>1567.2910636174</v>
      </c>
      <c r="D57" s="1041">
        <v>19198</v>
      </c>
      <c r="E57" s="1">
        <f t="shared" si="13"/>
        <v>1712.8054784156</v>
      </c>
      <c r="F57" s="1041">
        <v>17639</v>
      </c>
      <c r="G57" s="1">
        <f t="shared" si="14"/>
        <v>1573.7147532958</v>
      </c>
      <c r="H57" s="1041">
        <v>19247</v>
      </c>
      <c r="I57" s="1">
        <f t="shared" si="15"/>
        <v>1717.1771561134</v>
      </c>
    </row>
    <row r="58" spans="1:9" ht="12.75">
      <c r="A58" t="s">
        <v>180</v>
      </c>
      <c r="B58" s="1041">
        <v>15004</v>
      </c>
      <c r="C58" s="1">
        <f t="shared" si="12"/>
        <v>1338.6255546488</v>
      </c>
      <c r="D58" s="1041">
        <v>15970</v>
      </c>
      <c r="E58" s="1">
        <f t="shared" si="13"/>
        <v>1424.810057834</v>
      </c>
      <c r="F58" s="1041">
        <v>14971</v>
      </c>
      <c r="G58" s="1">
        <f t="shared" si="14"/>
        <v>1335.6813635462</v>
      </c>
      <c r="H58" s="1041">
        <v>15842</v>
      </c>
      <c r="I58" s="1">
        <f t="shared" si="15"/>
        <v>1413.3901650724</v>
      </c>
    </row>
    <row r="59" ht="12.75"/>
    <row r="60" ht="15">
      <c r="A60" s="1047"/>
    </row>
    <row r="61" spans="2:9" ht="12.75">
      <c r="B61" s="39"/>
      <c r="C61" s="39"/>
      <c r="D61" s="39"/>
      <c r="E61" s="39"/>
      <c r="F61" s="39"/>
      <c r="G61" s="39"/>
      <c r="H61" s="39"/>
      <c r="I61" s="39"/>
    </row>
    <row r="62" spans="2:9" ht="12.75">
      <c r="B62" s="39"/>
      <c r="C62" s="39"/>
      <c r="D62" s="39"/>
      <c r="E62" s="39"/>
      <c r="F62" s="39"/>
      <c r="G62" s="39"/>
      <c r="H62" s="39"/>
      <c r="I62" s="39"/>
    </row>
    <row r="63" spans="2:9" ht="12.75">
      <c r="B63" s="39"/>
      <c r="C63" s="39"/>
      <c r="D63" s="39"/>
      <c r="E63" s="39"/>
      <c r="F63" s="39"/>
      <c r="G63" s="39"/>
      <c r="H63" s="39"/>
      <c r="I63" s="39"/>
    </row>
    <row r="64" spans="2:9" ht="12.75">
      <c r="B64" s="39"/>
      <c r="C64" s="39"/>
      <c r="D64" s="39"/>
      <c r="E64" s="39"/>
      <c r="F64" s="39"/>
      <c r="G64" s="39"/>
      <c r="H64" s="39"/>
      <c r="I64" s="39"/>
    </row>
    <row r="65" spans="2:9" ht="12.75">
      <c r="B65" s="39"/>
      <c r="C65" s="39"/>
      <c r="D65" s="39"/>
      <c r="E65" s="39"/>
      <c r="F65" s="39"/>
      <c r="G65" s="39"/>
      <c r="H65" s="39"/>
      <c r="I65" s="39"/>
    </row>
    <row r="66" spans="2:9" ht="12.75">
      <c r="B66" s="39"/>
      <c r="C66" s="39"/>
      <c r="D66" s="39"/>
      <c r="E66" s="39"/>
      <c r="F66" s="39"/>
      <c r="G66" s="39"/>
      <c r="H66" s="39"/>
      <c r="I66" s="39"/>
    </row>
    <row r="67" spans="2:9" ht="12.75">
      <c r="B67" s="39"/>
      <c r="C67" s="39"/>
      <c r="D67" s="39"/>
      <c r="E67" s="39"/>
      <c r="F67" s="39"/>
      <c r="G67" s="39"/>
      <c r="H67" s="39"/>
      <c r="I67" s="39"/>
    </row>
    <row r="68" spans="2:9" ht="12.75">
      <c r="B68" s="39"/>
      <c r="C68" s="39"/>
      <c r="D68" s="39"/>
      <c r="E68" s="39"/>
      <c r="F68" s="39"/>
      <c r="G68" s="39"/>
      <c r="H68" s="39"/>
      <c r="I68" s="39"/>
    </row>
    <row r="69" spans="2:9" ht="12.75">
      <c r="B69" s="39"/>
      <c r="C69" s="39"/>
      <c r="D69" s="39"/>
      <c r="E69" s="39"/>
      <c r="F69" s="39"/>
      <c r="G69" s="39"/>
      <c r="H69" s="39"/>
      <c r="I69" s="39"/>
    </row>
    <row r="70" spans="2:9" ht="12.75">
      <c r="B70" s="39"/>
      <c r="C70" s="39"/>
      <c r="D70" s="39"/>
      <c r="E70" s="39"/>
      <c r="F70" s="39"/>
      <c r="G70" s="39"/>
      <c r="H70" s="39"/>
      <c r="I70" s="39"/>
    </row>
    <row r="71" spans="2:9" ht="12.75">
      <c r="B71" s="39"/>
      <c r="C71" s="39"/>
      <c r="D71" s="39"/>
      <c r="E71" s="39"/>
      <c r="F71" s="39"/>
      <c r="G71" s="39"/>
      <c r="H71" s="39"/>
      <c r="I71" s="39"/>
    </row>
    <row r="72" spans="2:9" ht="12.75">
      <c r="B72" s="39"/>
      <c r="C72" s="39"/>
      <c r="D72" s="39"/>
      <c r="E72" s="39"/>
      <c r="F72" s="39"/>
      <c r="G72" s="39"/>
      <c r="H72" s="39"/>
      <c r="I72" s="39"/>
    </row>
    <row r="73" spans="2:9" ht="12.75">
      <c r="B73" s="39"/>
      <c r="C73" s="39"/>
      <c r="D73" s="39"/>
      <c r="E73" s="39"/>
      <c r="F73" s="39"/>
      <c r="G73" s="39"/>
      <c r="H73" s="39"/>
      <c r="I73" s="39"/>
    </row>
    <row r="74" spans="2:9" ht="12.75">
      <c r="B74" s="39"/>
      <c r="C74" s="39"/>
      <c r="D74" s="39"/>
      <c r="E74" s="39"/>
      <c r="F74" s="39"/>
      <c r="G74" s="39"/>
      <c r="H74" s="39"/>
      <c r="I74" s="39"/>
    </row>
    <row r="75" spans="2:9" ht="12.75">
      <c r="B75" s="39"/>
      <c r="C75" s="39"/>
      <c r="D75" s="39"/>
      <c r="E75" s="39"/>
      <c r="F75" s="39"/>
      <c r="G75" s="39"/>
      <c r="H75" s="39"/>
      <c r="I75" s="39"/>
    </row>
    <row r="76" spans="2:9" ht="12.75">
      <c r="B76" s="39"/>
      <c r="C76" s="39"/>
      <c r="D76" s="39"/>
      <c r="E76" s="39"/>
      <c r="F76" s="39"/>
      <c r="G76" s="39"/>
      <c r="H76" s="39"/>
      <c r="I76" s="39"/>
    </row>
    <row r="77" spans="2:9" ht="12.75">
      <c r="B77" s="39"/>
      <c r="C77" s="39"/>
      <c r="D77" s="39"/>
      <c r="E77" s="39"/>
      <c r="F77" s="39"/>
      <c r="G77" s="39"/>
      <c r="H77" s="39"/>
      <c r="I77" s="39"/>
    </row>
    <row r="78" spans="2:9" ht="12.75">
      <c r="B78" s="39"/>
      <c r="C78" s="39"/>
      <c r="D78" s="39"/>
      <c r="E78" s="39"/>
      <c r="F78" s="39"/>
      <c r="G78" s="39"/>
      <c r="H78" s="39"/>
      <c r="I78" s="39"/>
    </row>
    <row r="79" spans="2:9" ht="12.75">
      <c r="B79" s="39"/>
      <c r="C79" s="39"/>
      <c r="D79" s="39"/>
      <c r="E79" s="39"/>
      <c r="F79" s="39"/>
      <c r="G79" s="39"/>
      <c r="H79" s="39"/>
      <c r="I79" s="39"/>
    </row>
    <row r="80" spans="2:9" ht="12.75">
      <c r="B80" s="39"/>
      <c r="C80" s="39"/>
      <c r="D80" s="39"/>
      <c r="E80" s="39"/>
      <c r="F80" s="39"/>
      <c r="G80" s="39"/>
      <c r="H80" s="39"/>
      <c r="I80" s="39"/>
    </row>
    <row r="81" spans="2:9" ht="12.75">
      <c r="B81" s="39"/>
      <c r="C81" s="39"/>
      <c r="D81" s="39"/>
      <c r="E81" s="39"/>
      <c r="F81" s="39"/>
      <c r="G81" s="39"/>
      <c r="H81" s="39"/>
      <c r="I81" s="39"/>
    </row>
    <row r="82" spans="2:9" ht="12.75">
      <c r="B82" s="39"/>
      <c r="C82" s="39"/>
      <c r="D82" s="39"/>
      <c r="E82" s="39"/>
      <c r="F82" s="39"/>
      <c r="G82" s="39"/>
      <c r="H82" s="39"/>
      <c r="I82" s="39"/>
    </row>
    <row r="83" spans="2:9" ht="12.75">
      <c r="B83" s="39"/>
      <c r="C83" s="39"/>
      <c r="D83" s="39"/>
      <c r="E83" s="39"/>
      <c r="F83" s="39"/>
      <c r="G83" s="39"/>
      <c r="H83" s="39"/>
      <c r="I83" s="39"/>
    </row>
    <row r="84" spans="2:9" ht="12.75">
      <c r="B84" s="39"/>
      <c r="C84" s="39"/>
      <c r="D84" s="39"/>
      <c r="E84" s="39"/>
      <c r="F84" s="39"/>
      <c r="G84" s="39"/>
      <c r="H84" s="39"/>
      <c r="I84" s="39"/>
    </row>
    <row r="85" spans="2:9" ht="12.75">
      <c r="B85" s="39"/>
      <c r="C85" s="39"/>
      <c r="D85" s="39"/>
      <c r="E85" s="39"/>
      <c r="F85" s="39"/>
      <c r="G85" s="39"/>
      <c r="H85" s="39"/>
      <c r="I85" s="39"/>
    </row>
    <row r="86" spans="2:9" ht="12.75">
      <c r="B86" s="39"/>
      <c r="C86" s="39"/>
      <c r="D86" s="39"/>
      <c r="E86" s="39"/>
      <c r="F86" s="39"/>
      <c r="G86" s="39"/>
      <c r="H86" s="39"/>
      <c r="I86" s="39"/>
    </row>
    <row r="87" spans="2:9" ht="12.75">
      <c r="B87" s="39"/>
      <c r="C87" s="39"/>
      <c r="D87" s="39"/>
      <c r="E87" s="39"/>
      <c r="F87" s="39"/>
      <c r="G87" s="39"/>
      <c r="H87" s="39"/>
      <c r="I87" s="39"/>
    </row>
    <row r="88" spans="2:9" ht="12.75">
      <c r="B88" s="39"/>
      <c r="C88" s="39"/>
      <c r="D88" s="39"/>
      <c r="E88" s="39"/>
      <c r="F88" s="39"/>
      <c r="G88" s="39"/>
      <c r="H88" s="39"/>
      <c r="I88" s="39"/>
    </row>
    <row r="89" spans="2:9" ht="12.75">
      <c r="B89" s="39"/>
      <c r="C89" s="39"/>
      <c r="D89" s="39"/>
      <c r="E89" s="39"/>
      <c r="F89" s="39"/>
      <c r="G89" s="39"/>
      <c r="H89" s="39"/>
      <c r="I89" s="39"/>
    </row>
    <row r="90" spans="2:9" ht="12.75">
      <c r="B90" s="39"/>
      <c r="C90" s="39"/>
      <c r="D90" s="39"/>
      <c r="E90" s="39"/>
      <c r="F90" s="39"/>
      <c r="G90" s="39"/>
      <c r="H90" s="39"/>
      <c r="I90" s="39"/>
    </row>
    <row r="91" spans="2:9" ht="12.75">
      <c r="B91" s="39"/>
      <c r="C91" s="39"/>
      <c r="D91" s="39"/>
      <c r="E91" s="39"/>
      <c r="F91" s="39"/>
      <c r="G91" s="39"/>
      <c r="H91" s="39"/>
      <c r="I91" s="39"/>
    </row>
    <row r="92" spans="2:9" ht="12.75">
      <c r="B92" s="39"/>
      <c r="C92" s="39"/>
      <c r="D92" s="39"/>
      <c r="E92" s="39"/>
      <c r="F92" s="39"/>
      <c r="G92" s="39"/>
      <c r="H92" s="39"/>
      <c r="I92" s="39"/>
    </row>
    <row r="93" spans="2:9" ht="12.75">
      <c r="B93" s="39"/>
      <c r="C93" s="39"/>
      <c r="D93" s="39"/>
      <c r="E93" s="39"/>
      <c r="F93" s="39"/>
      <c r="G93" s="39"/>
      <c r="H93" s="39"/>
      <c r="I93" s="39"/>
    </row>
    <row r="94" spans="2:9" ht="12.75">
      <c r="B94" s="39"/>
      <c r="C94" s="39"/>
      <c r="D94" s="39"/>
      <c r="E94" s="39"/>
      <c r="F94" s="39"/>
      <c r="G94" s="39"/>
      <c r="H94" s="39"/>
      <c r="I94" s="39"/>
    </row>
    <row r="95" spans="2:9" ht="12.75">
      <c r="B95" s="39"/>
      <c r="C95" s="39"/>
      <c r="D95" s="39"/>
      <c r="E95" s="39"/>
      <c r="F95" s="39"/>
      <c r="G95" s="39"/>
      <c r="H95" s="39"/>
      <c r="I95" s="39"/>
    </row>
    <row r="96" spans="2:9" ht="12.75">
      <c r="B96" s="39"/>
      <c r="C96" s="39"/>
      <c r="D96" s="39"/>
      <c r="E96" s="39"/>
      <c r="F96" s="39"/>
      <c r="G96" s="39"/>
      <c r="H96" s="39"/>
      <c r="I96" s="39"/>
    </row>
    <row r="97" spans="2:9" ht="12.75">
      <c r="B97" s="39"/>
      <c r="C97" s="39"/>
      <c r="D97" s="39"/>
      <c r="E97" s="39"/>
      <c r="F97" s="39"/>
      <c r="G97" s="39"/>
      <c r="H97" s="39"/>
      <c r="I97" s="39"/>
    </row>
    <row r="98" spans="2:9" ht="12.75">
      <c r="B98" s="39"/>
      <c r="C98" s="39"/>
      <c r="D98" s="39"/>
      <c r="E98" s="39"/>
      <c r="F98" s="39"/>
      <c r="G98" s="39"/>
      <c r="H98" s="39"/>
      <c r="I98" s="39"/>
    </row>
    <row r="99" spans="2:9" ht="12.75">
      <c r="B99" s="39"/>
      <c r="C99" s="39"/>
      <c r="D99" s="39"/>
      <c r="E99" s="39"/>
      <c r="F99" s="39"/>
      <c r="G99" s="39"/>
      <c r="H99" s="39"/>
      <c r="I99" s="39"/>
    </row>
    <row r="100" spans="2:9" ht="12.75">
      <c r="B100" s="39"/>
      <c r="C100" s="39"/>
      <c r="D100" s="39"/>
      <c r="E100" s="39"/>
      <c r="F100" s="39"/>
      <c r="G100" s="39"/>
      <c r="H100" s="39"/>
      <c r="I100" s="39"/>
    </row>
    <row r="101" spans="2:9" ht="12.75">
      <c r="B101" s="39"/>
      <c r="C101" s="39"/>
      <c r="D101" s="39"/>
      <c r="E101" s="39"/>
      <c r="F101" s="39"/>
      <c r="G101" s="39"/>
      <c r="H101" s="39"/>
      <c r="I101" s="39"/>
    </row>
    <row r="102" spans="2:9" ht="12.75">
      <c r="B102" s="39"/>
      <c r="C102" s="39"/>
      <c r="D102" s="39"/>
      <c r="E102" s="39"/>
      <c r="F102" s="39"/>
      <c r="G102" s="39"/>
      <c r="H102" s="39"/>
      <c r="I102" s="39"/>
    </row>
    <row r="103" spans="2:9" ht="12.75">
      <c r="B103" s="39"/>
      <c r="C103" s="39"/>
      <c r="D103" s="39"/>
      <c r="E103" s="39"/>
      <c r="F103" s="39"/>
      <c r="G103" s="39"/>
      <c r="H103" s="39"/>
      <c r="I103" s="39"/>
    </row>
    <row r="104" spans="2:9" ht="12.75">
      <c r="B104" s="39"/>
      <c r="C104" s="39"/>
      <c r="D104" s="39"/>
      <c r="E104" s="39"/>
      <c r="F104" s="39"/>
      <c r="G104" s="39"/>
      <c r="H104" s="39"/>
      <c r="I104" s="39"/>
    </row>
    <row r="105" spans="2:9" ht="12.75">
      <c r="B105" s="39"/>
      <c r="C105" s="39"/>
      <c r="D105" s="39"/>
      <c r="E105" s="39"/>
      <c r="F105" s="39"/>
      <c r="G105" s="39"/>
      <c r="H105" s="39"/>
      <c r="I105" s="39"/>
    </row>
    <row r="106" spans="2:9" ht="12.75">
      <c r="B106" s="39"/>
      <c r="C106" s="39"/>
      <c r="D106" s="39"/>
      <c r="E106" s="39"/>
      <c r="F106" s="39"/>
      <c r="G106" s="39"/>
      <c r="H106" s="39"/>
      <c r="I106" s="39"/>
    </row>
    <row r="107" spans="2:9" ht="12.75">
      <c r="B107" s="39"/>
      <c r="C107" s="39"/>
      <c r="D107" s="39"/>
      <c r="E107" s="39"/>
      <c r="F107" s="39"/>
      <c r="G107" s="39"/>
      <c r="H107" s="39"/>
      <c r="I107" s="39"/>
    </row>
    <row r="108" spans="2:9" ht="12.75">
      <c r="B108" s="39"/>
      <c r="C108" s="39"/>
      <c r="D108" s="39"/>
      <c r="E108" s="39"/>
      <c r="F108" s="39"/>
      <c r="G108" s="39"/>
      <c r="H108" s="39"/>
      <c r="I108" s="39"/>
    </row>
    <row r="109" spans="2:9" ht="12.75">
      <c r="B109" s="39"/>
      <c r="C109" s="39"/>
      <c r="D109" s="39"/>
      <c r="E109" s="39"/>
      <c r="F109" s="39"/>
      <c r="G109" s="39"/>
      <c r="H109" s="39"/>
      <c r="I109" s="39"/>
    </row>
    <row r="110" spans="2:9" ht="12.75">
      <c r="B110" s="39"/>
      <c r="C110" s="39"/>
      <c r="D110" s="39"/>
      <c r="E110" s="39"/>
      <c r="F110" s="39"/>
      <c r="G110" s="39"/>
      <c r="H110" s="39"/>
      <c r="I110" s="39"/>
    </row>
    <row r="111" spans="2:9" ht="12.75">
      <c r="B111" s="39"/>
      <c r="C111" s="39"/>
      <c r="D111" s="39"/>
      <c r="E111" s="39"/>
      <c r="F111" s="39"/>
      <c r="G111" s="39"/>
      <c r="H111" s="39"/>
      <c r="I111" s="39"/>
    </row>
    <row r="112" spans="2:9" ht="12.75">
      <c r="B112" s="39"/>
      <c r="C112" s="39"/>
      <c r="D112" s="39"/>
      <c r="E112" s="39"/>
      <c r="F112" s="39"/>
      <c r="G112" s="39"/>
      <c r="H112" s="39"/>
      <c r="I112" s="39"/>
    </row>
    <row r="113" spans="2:9" ht="12.75">
      <c r="B113" s="39"/>
      <c r="C113" s="39"/>
      <c r="D113" s="39"/>
      <c r="E113" s="39"/>
      <c r="F113" s="39"/>
      <c r="G113" s="39"/>
      <c r="H113" s="39"/>
      <c r="I113" s="39"/>
    </row>
    <row r="114" spans="2:9" ht="12.75">
      <c r="B114" s="39"/>
      <c r="C114" s="39"/>
      <c r="D114" s="39"/>
      <c r="E114" s="39"/>
      <c r="F114" s="39"/>
      <c r="G114" s="39"/>
      <c r="H114" s="39"/>
      <c r="I114" s="39"/>
    </row>
    <row r="115" spans="2:9" ht="12.75">
      <c r="B115" s="39"/>
      <c r="C115" s="39"/>
      <c r="D115" s="39"/>
      <c r="E115" s="39"/>
      <c r="F115" s="39"/>
      <c r="G115" s="39"/>
      <c r="H115" s="39"/>
      <c r="I115" s="39"/>
    </row>
    <row r="116" spans="2:9" ht="12.75">
      <c r="B116" s="39"/>
      <c r="C116" s="39"/>
      <c r="D116" s="39"/>
      <c r="E116" s="39"/>
      <c r="F116" s="39"/>
      <c r="G116" s="39"/>
      <c r="H116" s="39"/>
      <c r="I116" s="39"/>
    </row>
    <row r="117" spans="2:9" ht="12.75">
      <c r="B117" s="39"/>
      <c r="C117" s="39"/>
      <c r="D117" s="39"/>
      <c r="E117" s="39"/>
      <c r="F117" s="39"/>
      <c r="G117" s="39"/>
      <c r="H117" s="39"/>
      <c r="I117" s="39"/>
    </row>
    <row r="118" spans="2:9" ht="12.75">
      <c r="B118" s="39"/>
      <c r="C118" s="39"/>
      <c r="D118" s="39"/>
      <c r="E118" s="39"/>
      <c r="F118" s="39"/>
      <c r="G118" s="39"/>
      <c r="H118" s="39"/>
      <c r="I118" s="39"/>
    </row>
    <row r="119" spans="2:9" ht="12.75">
      <c r="B119" s="39"/>
      <c r="C119" s="39"/>
      <c r="D119" s="39"/>
      <c r="E119" s="39"/>
      <c r="F119" s="39"/>
      <c r="G119" s="39"/>
      <c r="H119" s="39"/>
      <c r="I119" s="39"/>
    </row>
    <row r="120" spans="2:9" ht="12.75">
      <c r="B120" s="39"/>
      <c r="C120" s="39"/>
      <c r="D120" s="39"/>
      <c r="E120" s="39"/>
      <c r="F120" s="39"/>
      <c r="G120" s="39"/>
      <c r="H120" s="39"/>
      <c r="I120" s="39"/>
    </row>
    <row r="121" spans="2:9" ht="12.75">
      <c r="B121" s="39"/>
      <c r="C121" s="39"/>
      <c r="D121" s="39"/>
      <c r="E121" s="39"/>
      <c r="F121" s="39"/>
      <c r="G121" s="39"/>
      <c r="H121" s="39"/>
      <c r="I121" s="39"/>
    </row>
    <row r="122" spans="2:9" ht="12.75">
      <c r="B122" s="39"/>
      <c r="C122" s="39"/>
      <c r="D122" s="39"/>
      <c r="E122" s="39"/>
      <c r="F122" s="39"/>
      <c r="G122" s="39"/>
      <c r="H122" s="39"/>
      <c r="I122" s="39"/>
    </row>
    <row r="123" spans="2:9" ht="12.75">
      <c r="B123" s="39"/>
      <c r="C123" s="39"/>
      <c r="D123" s="39"/>
      <c r="E123" s="39"/>
      <c r="F123" s="39"/>
      <c r="G123" s="39"/>
      <c r="H123" s="39"/>
      <c r="I123" s="39"/>
    </row>
    <row r="124" spans="2:9" ht="12.75">
      <c r="B124" s="39"/>
      <c r="C124" s="39"/>
      <c r="D124" s="39"/>
      <c r="E124" s="39"/>
      <c r="F124" s="39"/>
      <c r="G124" s="39"/>
      <c r="H124" s="39"/>
      <c r="I124" s="39"/>
    </row>
    <row r="125" spans="2:9" ht="12.75">
      <c r="B125" s="39"/>
      <c r="C125" s="39"/>
      <c r="D125" s="39"/>
      <c r="E125" s="39"/>
      <c r="F125" s="39"/>
      <c r="G125" s="39"/>
      <c r="H125" s="39"/>
      <c r="I125" s="39"/>
    </row>
    <row r="126" spans="2:9" ht="12.75">
      <c r="B126" s="39"/>
      <c r="C126" s="39"/>
      <c r="D126" s="39"/>
      <c r="E126" s="39"/>
      <c r="F126" s="39"/>
      <c r="G126" s="39"/>
      <c r="H126" s="39"/>
      <c r="I126" s="39"/>
    </row>
    <row r="127" spans="2:9" ht="12.75">
      <c r="B127" s="39"/>
      <c r="C127" s="39"/>
      <c r="D127" s="39"/>
      <c r="E127" s="39"/>
      <c r="F127" s="39"/>
      <c r="G127" s="39"/>
      <c r="H127" s="39"/>
      <c r="I127" s="39"/>
    </row>
    <row r="128" spans="2:9" ht="12.75">
      <c r="B128" s="39"/>
      <c r="C128" s="39"/>
      <c r="D128" s="39"/>
      <c r="E128" s="39"/>
      <c r="F128" s="39"/>
      <c r="G128" s="39"/>
      <c r="H128" s="39"/>
      <c r="I128" s="39"/>
    </row>
    <row r="129" spans="2:9" ht="12.75">
      <c r="B129" s="39"/>
      <c r="C129" s="39"/>
      <c r="D129" s="39"/>
      <c r="E129" s="39"/>
      <c r="F129" s="39"/>
      <c r="G129" s="39"/>
      <c r="H129" s="39"/>
      <c r="I129" s="39"/>
    </row>
    <row r="130" spans="2:9" ht="12.75">
      <c r="B130" s="39"/>
      <c r="C130" s="39"/>
      <c r="D130" s="39"/>
      <c r="E130" s="39"/>
      <c r="F130" s="39"/>
      <c r="G130" s="39"/>
      <c r="H130" s="39"/>
      <c r="I130" s="39"/>
    </row>
    <row r="131" spans="2:9" ht="12.75">
      <c r="B131" s="39"/>
      <c r="C131" s="39"/>
      <c r="D131" s="39"/>
      <c r="E131" s="39"/>
      <c r="F131" s="39"/>
      <c r="G131" s="39"/>
      <c r="H131" s="39"/>
      <c r="I131" s="39"/>
    </row>
    <row r="132" spans="2:9" ht="12.75">
      <c r="B132" s="39"/>
      <c r="C132" s="39"/>
      <c r="D132" s="39"/>
      <c r="E132" s="39"/>
      <c r="F132" s="39"/>
      <c r="G132" s="39"/>
      <c r="H132" s="39"/>
      <c r="I132" s="39"/>
    </row>
    <row r="133" spans="2:9" ht="12.75">
      <c r="B133" s="39"/>
      <c r="C133" s="39"/>
      <c r="D133" s="39"/>
      <c r="E133" s="39"/>
      <c r="F133" s="39"/>
      <c r="G133" s="39"/>
      <c r="H133" s="39"/>
      <c r="I133" s="39"/>
    </row>
    <row r="134" spans="2:9" ht="12.75">
      <c r="B134" s="39"/>
      <c r="C134" s="39"/>
      <c r="D134" s="39"/>
      <c r="E134" s="39"/>
      <c r="F134" s="39"/>
      <c r="G134" s="39"/>
      <c r="H134" s="39"/>
      <c r="I134" s="39"/>
    </row>
    <row r="135" spans="2:9" ht="12.75">
      <c r="B135" s="39"/>
      <c r="C135" s="39"/>
      <c r="D135" s="39"/>
      <c r="E135" s="39"/>
      <c r="F135" s="39"/>
      <c r="G135" s="39"/>
      <c r="H135" s="39"/>
      <c r="I135" s="39"/>
    </row>
    <row r="136" spans="2:9" ht="12.75">
      <c r="B136" s="39"/>
      <c r="C136" s="39"/>
      <c r="D136" s="39"/>
      <c r="E136" s="39"/>
      <c r="F136" s="39"/>
      <c r="G136" s="39"/>
      <c r="H136" s="39"/>
      <c r="I136" s="39"/>
    </row>
    <row r="137" spans="2:9" ht="12.75">
      <c r="B137" s="39"/>
      <c r="C137" s="39"/>
      <c r="D137" s="39"/>
      <c r="E137" s="39"/>
      <c r="F137" s="39"/>
      <c r="G137" s="39"/>
      <c r="H137" s="39"/>
      <c r="I137" s="39"/>
    </row>
    <row r="138" spans="2:9" ht="12.75">
      <c r="B138" s="39"/>
      <c r="C138" s="39"/>
      <c r="D138" s="39"/>
      <c r="E138" s="39"/>
      <c r="F138" s="39"/>
      <c r="G138" s="39"/>
      <c r="H138" s="39"/>
      <c r="I138" s="39"/>
    </row>
    <row r="139" spans="2:9" ht="12.75">
      <c r="B139" s="39"/>
      <c r="C139" s="39"/>
      <c r="D139" s="39"/>
      <c r="E139" s="39"/>
      <c r="F139" s="39"/>
      <c r="G139" s="39"/>
      <c r="H139" s="39"/>
      <c r="I139" s="39"/>
    </row>
    <row r="140" spans="2:9" ht="12.75">
      <c r="B140" s="39"/>
      <c r="C140" s="39"/>
      <c r="D140" s="39"/>
      <c r="E140" s="39"/>
      <c r="F140" s="39"/>
      <c r="G140" s="39"/>
      <c r="H140" s="39"/>
      <c r="I140" s="39"/>
    </row>
    <row r="141" spans="2:9" ht="12.75">
      <c r="B141" s="39"/>
      <c r="C141" s="39"/>
      <c r="D141" s="39"/>
      <c r="E141" s="39"/>
      <c r="F141" s="39"/>
      <c r="G141" s="39"/>
      <c r="H141" s="39"/>
      <c r="I141" s="39"/>
    </row>
    <row r="142" spans="2:9" ht="12.75">
      <c r="B142" s="39"/>
      <c r="C142" s="39"/>
      <c r="D142" s="39"/>
      <c r="E142" s="39"/>
      <c r="F142" s="39"/>
      <c r="G142" s="39"/>
      <c r="H142" s="39"/>
      <c r="I142" s="39"/>
    </row>
    <row r="143" spans="2:9" ht="12.75">
      <c r="B143" s="39"/>
      <c r="C143" s="39"/>
      <c r="D143" s="39"/>
      <c r="E143" s="39"/>
      <c r="F143" s="39"/>
      <c r="G143" s="39"/>
      <c r="H143" s="39"/>
      <c r="I143" s="39"/>
    </row>
    <row r="144" spans="2:9" ht="12.75">
      <c r="B144" s="39"/>
      <c r="C144" s="39"/>
      <c r="D144" s="39"/>
      <c r="E144" s="39"/>
      <c r="F144" s="39"/>
      <c r="G144" s="39"/>
      <c r="H144" s="39"/>
      <c r="I144" s="39"/>
    </row>
    <row r="145" spans="2:9" ht="12.75">
      <c r="B145" s="39"/>
      <c r="C145" s="39"/>
      <c r="D145" s="39"/>
      <c r="E145" s="39"/>
      <c r="F145" s="39"/>
      <c r="G145" s="39"/>
      <c r="H145" s="39"/>
      <c r="I145" s="39"/>
    </row>
    <row r="146" spans="2:9" ht="12.75">
      <c r="B146" s="39"/>
      <c r="C146" s="39"/>
      <c r="D146" s="39"/>
      <c r="E146" s="39"/>
      <c r="F146" s="39"/>
      <c r="G146" s="39"/>
      <c r="H146" s="39"/>
      <c r="I146" s="39"/>
    </row>
    <row r="147" spans="2:9" ht="12.75">
      <c r="B147" s="39"/>
      <c r="C147" s="39"/>
      <c r="D147" s="39"/>
      <c r="E147" s="39"/>
      <c r="F147" s="39"/>
      <c r="G147" s="39"/>
      <c r="H147" s="39"/>
      <c r="I147" s="39"/>
    </row>
    <row r="148" spans="2:9" ht="12.75">
      <c r="B148" s="39"/>
      <c r="C148" s="39"/>
      <c r="D148" s="39"/>
      <c r="E148" s="39"/>
      <c r="F148" s="39"/>
      <c r="G148" s="39"/>
      <c r="H148" s="39"/>
      <c r="I148" s="39"/>
    </row>
    <row r="149" spans="2:9" ht="12.75">
      <c r="B149" s="39"/>
      <c r="C149" s="39"/>
      <c r="D149" s="39"/>
      <c r="E149" s="39"/>
      <c r="F149" s="39"/>
      <c r="G149" s="39"/>
      <c r="H149" s="39"/>
      <c r="I149" s="39"/>
    </row>
    <row r="150" spans="2:9" ht="12.75">
      <c r="B150" s="39"/>
      <c r="C150" s="39"/>
      <c r="D150" s="39"/>
      <c r="E150" s="39"/>
      <c r="F150" s="39"/>
      <c r="G150" s="39"/>
      <c r="H150" s="39"/>
      <c r="I150" s="39"/>
    </row>
    <row r="151" spans="2:9" ht="12.75">
      <c r="B151" s="39"/>
      <c r="C151" s="39"/>
      <c r="D151" s="39"/>
      <c r="E151" s="39"/>
      <c r="F151" s="39"/>
      <c r="G151" s="39"/>
      <c r="H151" s="39"/>
      <c r="I151" s="39"/>
    </row>
    <row r="152" spans="2:9" ht="12.75">
      <c r="B152" s="39"/>
      <c r="C152" s="39"/>
      <c r="D152" s="39"/>
      <c r="E152" s="39"/>
      <c r="F152" s="39"/>
      <c r="G152" s="39"/>
      <c r="H152" s="39"/>
      <c r="I152" s="39"/>
    </row>
    <row r="153" spans="2:9" ht="12.75">
      <c r="B153" s="39"/>
      <c r="C153" s="39"/>
      <c r="D153" s="39"/>
      <c r="E153" s="39"/>
      <c r="F153" s="39"/>
      <c r="G153" s="39"/>
      <c r="H153" s="39"/>
      <c r="I153" s="39"/>
    </row>
    <row r="154" spans="2:9" ht="12.75">
      <c r="B154" s="39"/>
      <c r="C154" s="39"/>
      <c r="D154" s="39"/>
      <c r="E154" s="39"/>
      <c r="F154" s="39"/>
      <c r="G154" s="39"/>
      <c r="H154" s="39"/>
      <c r="I154" s="39"/>
    </row>
    <row r="155" spans="2:9" ht="12.75">
      <c r="B155" s="39"/>
      <c r="C155" s="39"/>
      <c r="D155" s="39"/>
      <c r="E155" s="39"/>
      <c r="F155" s="39"/>
      <c r="G155" s="39"/>
      <c r="H155" s="39"/>
      <c r="I155" s="39"/>
    </row>
    <row r="156" spans="2:9" ht="12.75">
      <c r="B156" s="39"/>
      <c r="C156" s="39"/>
      <c r="D156" s="39"/>
      <c r="E156" s="39"/>
      <c r="F156" s="39"/>
      <c r="G156" s="39"/>
      <c r="H156" s="39"/>
      <c r="I156" s="39"/>
    </row>
    <row r="157" spans="2:9" ht="12.75">
      <c r="B157" s="39"/>
      <c r="C157" s="39"/>
      <c r="D157" s="39"/>
      <c r="E157" s="39"/>
      <c r="F157" s="39"/>
      <c r="G157" s="39"/>
      <c r="H157" s="39"/>
      <c r="I157" s="39"/>
    </row>
    <row r="158" spans="2:9" ht="12.75">
      <c r="B158" s="39"/>
      <c r="C158" s="39"/>
      <c r="D158" s="39"/>
      <c r="E158" s="39"/>
      <c r="F158" s="39"/>
      <c r="G158" s="39"/>
      <c r="H158" s="39"/>
      <c r="I158" s="39"/>
    </row>
    <row r="159" spans="2:9" ht="12.75">
      <c r="B159" s="39"/>
      <c r="C159" s="39"/>
      <c r="D159" s="39"/>
      <c r="E159" s="39"/>
      <c r="F159" s="39"/>
      <c r="G159" s="39"/>
      <c r="H159" s="39"/>
      <c r="I159" s="39"/>
    </row>
    <row r="160" spans="2:9" ht="12.75">
      <c r="B160" s="39"/>
      <c r="C160" s="39"/>
      <c r="D160" s="39"/>
      <c r="E160" s="39"/>
      <c r="F160" s="39"/>
      <c r="G160" s="39"/>
      <c r="H160" s="39"/>
      <c r="I160" s="39"/>
    </row>
    <row r="161" spans="2:9" ht="12.75">
      <c r="B161" s="39"/>
      <c r="C161" s="39"/>
      <c r="D161" s="39"/>
      <c r="E161" s="39"/>
      <c r="F161" s="39"/>
      <c r="G161" s="39"/>
      <c r="H161" s="39"/>
      <c r="I161" s="39"/>
    </row>
    <row r="162" spans="2:9" ht="12.75">
      <c r="B162" s="39"/>
      <c r="C162" s="39"/>
      <c r="D162" s="39"/>
      <c r="E162" s="39"/>
      <c r="F162" s="39"/>
      <c r="G162" s="39"/>
      <c r="H162" s="39"/>
      <c r="I162" s="39"/>
    </row>
    <row r="163" spans="2:9" ht="12.75">
      <c r="B163" s="39"/>
      <c r="C163" s="39"/>
      <c r="D163" s="39"/>
      <c r="E163" s="39"/>
      <c r="F163" s="39"/>
      <c r="G163" s="39"/>
      <c r="H163" s="39"/>
      <c r="I163" s="39"/>
    </row>
    <row r="164" spans="2:9" ht="12.75">
      <c r="B164" s="39"/>
      <c r="C164" s="39"/>
      <c r="D164" s="39"/>
      <c r="E164" s="39"/>
      <c r="F164" s="39"/>
      <c r="G164" s="39"/>
      <c r="H164" s="39"/>
      <c r="I164" s="39"/>
    </row>
    <row r="165" spans="2:9" ht="12.75">
      <c r="B165" s="39"/>
      <c r="C165" s="39"/>
      <c r="D165" s="39"/>
      <c r="E165" s="39"/>
      <c r="F165" s="39"/>
      <c r="G165" s="39"/>
      <c r="H165" s="39"/>
      <c r="I165" s="39"/>
    </row>
    <row r="166" spans="2:9" ht="12.75">
      <c r="B166" s="39"/>
      <c r="C166" s="39"/>
      <c r="D166" s="39"/>
      <c r="E166" s="39"/>
      <c r="F166" s="39"/>
      <c r="G166" s="39"/>
      <c r="H166" s="39"/>
      <c r="I166" s="39"/>
    </row>
    <row r="167" spans="2:9" ht="12.75">
      <c r="B167" s="39"/>
      <c r="C167" s="39"/>
      <c r="D167" s="39"/>
      <c r="E167" s="39"/>
      <c r="F167" s="39"/>
      <c r="G167" s="39"/>
      <c r="H167" s="39"/>
      <c r="I167" s="39"/>
    </row>
    <row r="168" spans="2:9" ht="12.75">
      <c r="B168" s="39"/>
      <c r="C168" s="39"/>
      <c r="D168" s="39"/>
      <c r="E168" s="39"/>
      <c r="F168" s="39"/>
      <c r="G168" s="39"/>
      <c r="H168" s="39"/>
      <c r="I168" s="39"/>
    </row>
    <row r="169" spans="2:9" ht="12.75">
      <c r="B169" s="39"/>
      <c r="C169" s="39"/>
      <c r="D169" s="39"/>
      <c r="E169" s="39"/>
      <c r="F169" s="39"/>
      <c r="G169" s="39"/>
      <c r="H169" s="39"/>
      <c r="I169" s="39"/>
    </row>
    <row r="170" spans="2:9" ht="12.75">
      <c r="B170" s="39"/>
      <c r="C170" s="39"/>
      <c r="D170" s="39"/>
      <c r="E170" s="39"/>
      <c r="F170" s="39"/>
      <c r="G170" s="39"/>
      <c r="H170" s="39"/>
      <c r="I170" s="39"/>
    </row>
    <row r="171" spans="2:9" ht="12.75">
      <c r="B171" s="39"/>
      <c r="C171" s="39"/>
      <c r="D171" s="39"/>
      <c r="E171" s="39"/>
      <c r="F171" s="39"/>
      <c r="G171" s="39"/>
      <c r="H171" s="39"/>
      <c r="I171" s="39"/>
    </row>
    <row r="172" spans="2:9" ht="12.75">
      <c r="B172" s="39"/>
      <c r="C172" s="39"/>
      <c r="D172" s="39"/>
      <c r="E172" s="39"/>
      <c r="F172" s="39"/>
      <c r="G172" s="39"/>
      <c r="H172" s="39"/>
      <c r="I172" s="39"/>
    </row>
    <row r="173" spans="2:9" ht="12.75">
      <c r="B173" s="39"/>
      <c r="C173" s="39"/>
      <c r="D173" s="39"/>
      <c r="E173" s="39"/>
      <c r="F173" s="39"/>
      <c r="G173" s="39"/>
      <c r="H173" s="39"/>
      <c r="I173" s="39"/>
    </row>
    <row r="174" spans="2:9" ht="12.75">
      <c r="B174" s="39"/>
      <c r="C174" s="39"/>
      <c r="D174" s="39"/>
      <c r="E174" s="39"/>
      <c r="F174" s="39"/>
      <c r="G174" s="39"/>
      <c r="H174" s="39"/>
      <c r="I174" s="39"/>
    </row>
    <row r="175" spans="2:9" ht="12.75">
      <c r="B175" s="39"/>
      <c r="C175" s="39"/>
      <c r="D175" s="39"/>
      <c r="E175" s="39"/>
      <c r="F175" s="39"/>
      <c r="G175" s="39"/>
      <c r="H175" s="39"/>
      <c r="I175" s="39"/>
    </row>
    <row r="176" spans="2:9" ht="12.75">
      <c r="B176" s="39"/>
      <c r="C176" s="39"/>
      <c r="D176" s="39"/>
      <c r="E176" s="39"/>
      <c r="F176" s="39"/>
      <c r="G176" s="39"/>
      <c r="H176" s="39"/>
      <c r="I176" s="39"/>
    </row>
    <row r="177" spans="2:9" ht="12.75">
      <c r="B177" s="39"/>
      <c r="C177" s="39"/>
      <c r="D177" s="39"/>
      <c r="E177" s="39"/>
      <c r="F177" s="39"/>
      <c r="G177" s="39"/>
      <c r="H177" s="39"/>
      <c r="I177" s="39"/>
    </row>
    <row r="178" spans="2:9" ht="12.75">
      <c r="B178" s="39"/>
      <c r="C178" s="39"/>
      <c r="D178" s="39"/>
      <c r="E178" s="39"/>
      <c r="F178" s="39"/>
      <c r="G178" s="39"/>
      <c r="H178" s="39"/>
      <c r="I178" s="39"/>
    </row>
    <row r="179" spans="2:9" ht="12.75">
      <c r="B179" s="39"/>
      <c r="C179" s="39"/>
      <c r="D179" s="39"/>
      <c r="E179" s="39"/>
      <c r="F179" s="39"/>
      <c r="G179" s="39"/>
      <c r="H179" s="39"/>
      <c r="I179" s="39"/>
    </row>
    <row r="180" spans="2:9" ht="12.75">
      <c r="B180" s="39"/>
      <c r="C180" s="39"/>
      <c r="D180" s="39"/>
      <c r="E180" s="39"/>
      <c r="F180" s="39"/>
      <c r="G180" s="39"/>
      <c r="H180" s="39"/>
      <c r="I180" s="39"/>
    </row>
    <row r="181" spans="2:9" ht="12.75">
      <c r="B181" s="39"/>
      <c r="C181" s="39"/>
      <c r="D181" s="39"/>
      <c r="E181" s="39"/>
      <c r="F181" s="39"/>
      <c r="G181" s="39"/>
      <c r="H181" s="39"/>
      <c r="I181" s="39"/>
    </row>
    <row r="182" spans="2:9" ht="12.75">
      <c r="B182" s="39"/>
      <c r="C182" s="39"/>
      <c r="D182" s="39"/>
      <c r="E182" s="39"/>
      <c r="F182" s="39"/>
      <c r="G182" s="39"/>
      <c r="H182" s="39"/>
      <c r="I182" s="39"/>
    </row>
    <row r="183" spans="2:9" ht="12.75">
      <c r="B183" s="39"/>
      <c r="C183" s="39"/>
      <c r="D183" s="39"/>
      <c r="E183" s="39"/>
      <c r="F183" s="39"/>
      <c r="G183" s="39"/>
      <c r="H183" s="39"/>
      <c r="I183" s="39"/>
    </row>
    <row r="184" spans="2:9" ht="12.75">
      <c r="B184" s="39"/>
      <c r="C184" s="39"/>
      <c r="D184" s="39"/>
      <c r="E184" s="39"/>
      <c r="F184" s="39"/>
      <c r="G184" s="39"/>
      <c r="H184" s="39"/>
      <c r="I184" s="39"/>
    </row>
    <row r="185" spans="2:9" ht="12.75">
      <c r="B185" s="39"/>
      <c r="C185" s="39"/>
      <c r="D185" s="39"/>
      <c r="E185" s="39"/>
      <c r="F185" s="39"/>
      <c r="G185" s="39"/>
      <c r="H185" s="39"/>
      <c r="I185" s="39"/>
    </row>
    <row r="186" spans="2:9" ht="12.75">
      <c r="B186" s="39"/>
      <c r="C186" s="39"/>
      <c r="D186" s="39"/>
      <c r="E186" s="39"/>
      <c r="F186" s="39"/>
      <c r="G186" s="39"/>
      <c r="H186" s="39"/>
      <c r="I186" s="39"/>
    </row>
    <row r="187" spans="2:9" ht="12.75">
      <c r="B187" s="39"/>
      <c r="C187" s="39"/>
      <c r="D187" s="39"/>
      <c r="E187" s="39"/>
      <c r="F187" s="39"/>
      <c r="G187" s="39"/>
      <c r="H187" s="39"/>
      <c r="I187" s="39"/>
    </row>
    <row r="188" spans="2:9" ht="12.75">
      <c r="B188" s="39"/>
      <c r="C188" s="39"/>
      <c r="D188" s="39"/>
      <c r="E188" s="39"/>
      <c r="F188" s="39"/>
      <c r="G188" s="39"/>
      <c r="H188" s="39"/>
      <c r="I188" s="39"/>
    </row>
    <row r="189" spans="2:9" ht="12.75">
      <c r="B189" s="39"/>
      <c r="C189" s="39"/>
      <c r="D189" s="39"/>
      <c r="E189" s="39"/>
      <c r="F189" s="39"/>
      <c r="G189" s="39"/>
      <c r="H189" s="39"/>
      <c r="I189" s="39"/>
    </row>
    <row r="190" spans="2:9" ht="12.75">
      <c r="B190" s="39"/>
      <c r="C190" s="39"/>
      <c r="D190" s="39"/>
      <c r="E190" s="39"/>
      <c r="F190" s="39"/>
      <c r="G190" s="39"/>
      <c r="H190" s="39"/>
      <c r="I190" s="39"/>
    </row>
    <row r="191" spans="2:9" ht="12.75">
      <c r="B191" s="39"/>
      <c r="C191" s="39"/>
      <c r="D191" s="39"/>
      <c r="E191" s="39"/>
      <c r="F191" s="39"/>
      <c r="G191" s="39"/>
      <c r="H191" s="39"/>
      <c r="I191" s="39"/>
    </row>
  </sheetData>
  <sheetProtection/>
  <mergeCells count="4">
    <mergeCell ref="B4:C4"/>
    <mergeCell ref="D4:E4"/>
    <mergeCell ref="F4:G4"/>
    <mergeCell ref="H4:I4"/>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P21"/>
  <sheetViews>
    <sheetView zoomScalePageLayoutView="0" workbookViewId="0" topLeftCell="A1">
      <selection activeCell="H23" sqref="H23"/>
    </sheetView>
  </sheetViews>
  <sheetFormatPr defaultColWidth="8.8515625" defaultRowHeight="12.75"/>
  <cols>
    <col min="1" max="1" width="16.28125" style="0" customWidth="1"/>
    <col min="2" max="2" width="11.421875" style="0" customWidth="1"/>
    <col min="3" max="4" width="7.421875" style="0" customWidth="1"/>
    <col min="5" max="5" width="9.00390625" style="0" bestFit="1" customWidth="1"/>
    <col min="6" max="7" width="7.421875" style="0" customWidth="1"/>
    <col min="8" max="8" width="15.00390625" style="0" customWidth="1"/>
    <col min="9" max="9" width="13.28125" style="0" customWidth="1"/>
    <col min="10" max="10" width="16.421875" style="0" bestFit="1" customWidth="1"/>
    <col min="11" max="11" width="10.28125" style="0" bestFit="1" customWidth="1"/>
    <col min="12" max="12" width="11.28125" style="0" bestFit="1" customWidth="1"/>
    <col min="13" max="13" width="8.8515625" style="0" customWidth="1"/>
    <col min="14" max="14" width="11.421875" style="0" customWidth="1"/>
    <col min="15" max="15" width="8.8515625" style="0" customWidth="1"/>
    <col min="16" max="16" width="17.28125" style="0" customWidth="1"/>
  </cols>
  <sheetData>
    <row r="1" spans="1:4" ht="15.75">
      <c r="A1" s="113" t="s">
        <v>270</v>
      </c>
      <c r="B1" s="113"/>
      <c r="C1" s="113"/>
      <c r="D1" s="113"/>
    </row>
    <row r="2" spans="1:4" ht="12.75">
      <c r="A2" s="14" t="s">
        <v>808</v>
      </c>
      <c r="B2" s="14"/>
      <c r="C2" s="14"/>
      <c r="D2" s="14"/>
    </row>
    <row r="4" spans="1:2" ht="12.75">
      <c r="A4" t="s">
        <v>122</v>
      </c>
      <c r="B4" s="15">
        <v>17000000</v>
      </c>
    </row>
    <row r="5" ht="12.75">
      <c r="A5" s="14" t="s">
        <v>348</v>
      </c>
    </row>
    <row r="6" spans="2:16" ht="63.75" customHeight="1">
      <c r="B6" s="1192" t="s">
        <v>557</v>
      </c>
      <c r="C6" s="1193"/>
      <c r="D6" s="1194"/>
      <c r="E6" s="1192" t="s">
        <v>539</v>
      </c>
      <c r="F6" s="1193"/>
      <c r="G6" s="1194"/>
      <c r="H6" s="268" t="s">
        <v>194</v>
      </c>
      <c r="I6" s="268" t="s">
        <v>193</v>
      </c>
      <c r="J6" s="345" t="s">
        <v>185</v>
      </c>
      <c r="K6" s="345" t="s">
        <v>119</v>
      </c>
      <c r="L6" s="1191" t="s">
        <v>195</v>
      </c>
      <c r="M6" s="1187"/>
      <c r="N6" s="345" t="s">
        <v>664</v>
      </c>
      <c r="P6" s="1006" t="s">
        <v>1037</v>
      </c>
    </row>
    <row r="7" spans="2:14" s="30" customFormat="1" ht="12.75">
      <c r="B7" s="273" t="s">
        <v>358</v>
      </c>
      <c r="C7" s="273" t="s">
        <v>359</v>
      </c>
      <c r="D7" s="273" t="s">
        <v>376</v>
      </c>
      <c r="E7" s="273" t="s">
        <v>358</v>
      </c>
      <c r="F7" s="273" t="s">
        <v>359</v>
      </c>
      <c r="G7" s="273" t="s">
        <v>376</v>
      </c>
      <c r="H7" s="343" t="s">
        <v>186</v>
      </c>
      <c r="I7" s="273" t="s">
        <v>192</v>
      </c>
      <c r="J7" s="343" t="s">
        <v>35</v>
      </c>
      <c r="K7" s="343" t="s">
        <v>99</v>
      </c>
      <c r="L7" s="343" t="s">
        <v>120</v>
      </c>
      <c r="M7" s="273" t="s">
        <v>191</v>
      </c>
      <c r="N7" s="160" t="s">
        <v>41</v>
      </c>
    </row>
    <row r="8" spans="1:16" ht="12.75">
      <c r="A8" s="299" t="s">
        <v>187</v>
      </c>
      <c r="B8" s="286">
        <f>VegCurrent!AD9</f>
        <v>0.14302051853633085</v>
      </c>
      <c r="C8" s="427">
        <f>B8*7</f>
        <v>1.001143629754316</v>
      </c>
      <c r="D8" s="427">
        <f>VegCurrent!AB9</f>
        <v>3.035777963636166</v>
      </c>
      <c r="E8" s="256">
        <f>Diet!C6</f>
        <v>0.2857142857142857</v>
      </c>
      <c r="F8" s="257">
        <v>2</v>
      </c>
      <c r="G8" s="298">
        <f>D8*(E8/B8)</f>
        <v>6.064620247109111</v>
      </c>
      <c r="H8" s="298">
        <f>VegCurrent!AF9</f>
        <v>166.92992290392328</v>
      </c>
      <c r="I8" s="278">
        <f>E8*H8</f>
        <v>47.69426368683522</v>
      </c>
      <c r="J8" s="257">
        <f aca="true" t="shared" si="0" ref="J8:J13">I8*17000000</f>
        <v>810802482.6761987</v>
      </c>
      <c r="K8" s="416">
        <f>VegY!W4</f>
        <v>20000</v>
      </c>
      <c r="L8" s="257">
        <f>J8/K8</f>
        <v>40540.124133809935</v>
      </c>
      <c r="M8" s="427">
        <f aca="true" t="shared" si="1" ref="M8:M13">L8/1000</f>
        <v>40.54012413380993</v>
      </c>
      <c r="N8" s="650">
        <f aca="true" t="shared" si="2" ref="N8:N13">(E8/B8)</f>
        <v>1.9977153532813334</v>
      </c>
      <c r="P8" s="27" t="s">
        <v>1027</v>
      </c>
    </row>
    <row r="9" spans="1:16" ht="12.75">
      <c r="A9" s="106" t="s">
        <v>188</v>
      </c>
      <c r="B9" s="287">
        <f>VegCurrent!AD31</f>
        <v>0.26043555417412134</v>
      </c>
      <c r="C9" s="71">
        <f>B9*7</f>
        <v>1.8230488792188493</v>
      </c>
      <c r="D9" s="274">
        <f>VegCurrent!AB31</f>
        <v>11.652105606209307</v>
      </c>
      <c r="E9" s="108">
        <f>Diet!C8</f>
        <v>0.8571428571428571</v>
      </c>
      <c r="F9" s="26">
        <v>6</v>
      </c>
      <c r="G9" s="107">
        <f>D9*(E9/B9)</f>
        <v>38.34929191103884</v>
      </c>
      <c r="H9" s="107">
        <f>VegCurrent!AF31</f>
        <v>431.79305148587946</v>
      </c>
      <c r="I9" s="55">
        <f>E9*H9</f>
        <v>370.1083298450395</v>
      </c>
      <c r="J9" s="26">
        <f t="shared" si="0"/>
        <v>6291841607.365672</v>
      </c>
      <c r="K9" s="418">
        <f>VegY!W17</f>
        <v>24000</v>
      </c>
      <c r="L9" s="26">
        <f>J9/K9</f>
        <v>262160.0669735697</v>
      </c>
      <c r="M9" s="71">
        <f t="shared" si="1"/>
        <v>262.1600669735697</v>
      </c>
      <c r="N9" s="650">
        <f t="shared" si="2"/>
        <v>3.2911898679156177</v>
      </c>
      <c r="P9" s="27" t="s">
        <v>1027</v>
      </c>
    </row>
    <row r="10" spans="1:16" ht="12.75">
      <c r="A10" s="106" t="s">
        <v>74</v>
      </c>
      <c r="B10" s="287">
        <f>VegCurrent!AD48</f>
        <v>0.6798823596963234</v>
      </c>
      <c r="C10" s="71">
        <f>B10*7</f>
        <v>4.7591765178742635</v>
      </c>
      <c r="D10" s="71">
        <f>VegCurrent!AB48</f>
        <v>85.21381304614394</v>
      </c>
      <c r="E10" s="108">
        <f>Diet!C9</f>
        <v>0.8571428571428571</v>
      </c>
      <c r="F10" s="26">
        <v>6</v>
      </c>
      <c r="G10" s="107">
        <f>D10*(E10/B10)</f>
        <v>107.43095498908569</v>
      </c>
      <c r="H10" s="107">
        <f>VegCurrent!AF48</f>
        <v>216.28814922418272</v>
      </c>
      <c r="I10" s="55">
        <f>E10*H10</f>
        <v>185.3898421921566</v>
      </c>
      <c r="J10" s="26">
        <f t="shared" si="0"/>
        <v>3151627317.266662</v>
      </c>
      <c r="K10" s="418">
        <f>VegY!W24</f>
        <v>24000</v>
      </c>
      <c r="L10" s="26">
        <f>J10/K10</f>
        <v>131317.8048861109</v>
      </c>
      <c r="M10" s="71">
        <f t="shared" si="1"/>
        <v>131.3178048861109</v>
      </c>
      <c r="N10" s="650">
        <f t="shared" si="2"/>
        <v>1.2607223072028357</v>
      </c>
      <c r="P10" s="27" t="s">
        <v>1027</v>
      </c>
    </row>
    <row r="11" spans="1:16" ht="12.75">
      <c r="A11" s="106" t="s">
        <v>75</v>
      </c>
      <c r="B11" s="287">
        <f>VegCurrent!AD70</f>
        <v>0.44820096808455784</v>
      </c>
      <c r="C11" s="71">
        <f>B11*7</f>
        <v>3.137406776591905</v>
      </c>
      <c r="D11" s="71">
        <f>VegCurrent!AB70</f>
        <v>16.166591821056596</v>
      </c>
      <c r="E11" s="108">
        <f>Diet!C7</f>
        <v>0.7142857142857143</v>
      </c>
      <c r="F11" s="26">
        <v>5</v>
      </c>
      <c r="G11" s="107">
        <f>D11*(E11/B11)</f>
        <v>25.764258466060312</v>
      </c>
      <c r="H11" s="107">
        <f>VegCurrent!AF70</f>
        <v>222.86887304274433</v>
      </c>
      <c r="I11" s="55">
        <f>E11*H11</f>
        <v>159.19205217338882</v>
      </c>
      <c r="J11" s="26">
        <f t="shared" si="0"/>
        <v>2706264886.94761</v>
      </c>
      <c r="K11" s="418">
        <f>VegY!W29</f>
        <v>28000</v>
      </c>
      <c r="L11" s="26">
        <f>J11/K11</f>
        <v>96652.31739098606</v>
      </c>
      <c r="M11" s="71">
        <f t="shared" si="1"/>
        <v>96.65231739098607</v>
      </c>
      <c r="N11" s="650">
        <f t="shared" si="2"/>
        <v>1.5936728502356934</v>
      </c>
      <c r="P11" s="27" t="s">
        <v>1027</v>
      </c>
    </row>
    <row r="12" spans="1:16" ht="13.5" thickBot="1">
      <c r="A12" s="540" t="s">
        <v>189</v>
      </c>
      <c r="B12" s="541">
        <f>VegCurrent!AD120</f>
        <v>0.10415181025887801</v>
      </c>
      <c r="C12" s="542">
        <f>B12*7</f>
        <v>0.7290626718121461</v>
      </c>
      <c r="D12" s="542">
        <f>VegCurrent!AB120</f>
        <v>10.496572153130046</v>
      </c>
      <c r="E12" s="543">
        <f>Diet!C10</f>
        <v>0.2857142857142857</v>
      </c>
      <c r="F12" s="544">
        <v>2</v>
      </c>
      <c r="G12" s="545">
        <f>D12*(E12/B12)</f>
        <v>28.79470465012271</v>
      </c>
      <c r="H12" s="545">
        <f>VegCurrent!AF120</f>
        <v>71.55508184707836</v>
      </c>
      <c r="I12" s="546">
        <f>E12*H12</f>
        <v>20.444309099165242</v>
      </c>
      <c r="J12" s="544">
        <f t="shared" si="0"/>
        <v>347553254.68580914</v>
      </c>
      <c r="K12" s="547">
        <v>1750</v>
      </c>
      <c r="L12" s="544">
        <f>J12/K12</f>
        <v>198601.85982046236</v>
      </c>
      <c r="M12" s="542">
        <f t="shared" si="1"/>
        <v>198.60185982046235</v>
      </c>
      <c r="N12" s="652">
        <f t="shared" si="2"/>
        <v>2.743248389097789</v>
      </c>
      <c r="P12" s="27" t="s">
        <v>1027</v>
      </c>
    </row>
    <row r="13" spans="1:14" ht="12.75">
      <c r="A13" s="161" t="s">
        <v>190</v>
      </c>
      <c r="B13" s="21">
        <f>SUM(B8:B12)</f>
        <v>1.6356912107502115</v>
      </c>
      <c r="C13" s="71">
        <f>SUM(C8:C12)</f>
        <v>11.44983847525148</v>
      </c>
      <c r="D13" s="539">
        <f>SUM(D8:D12)</f>
        <v>126.56486059017605</v>
      </c>
      <c r="E13" s="55">
        <v>3.0000000000000004</v>
      </c>
      <c r="F13" s="26">
        <v>21</v>
      </c>
      <c r="G13" s="539">
        <f>SUM(G8:G12)</f>
        <v>206.40383026341664</v>
      </c>
      <c r="H13" s="418"/>
      <c r="I13" s="55">
        <f>SUM(I8:I12)</f>
        <v>782.8287969965854</v>
      </c>
      <c r="J13" s="26">
        <f t="shared" si="0"/>
        <v>13308089548.941952</v>
      </c>
      <c r="K13" s="418"/>
      <c r="L13" s="26">
        <f>SUM(L8:L12)</f>
        <v>729272.1732049389</v>
      </c>
      <c r="M13" s="71">
        <f t="shared" si="1"/>
        <v>729.2721732049389</v>
      </c>
      <c r="N13" s="650">
        <f t="shared" si="2"/>
        <v>1.834087008772302</v>
      </c>
    </row>
    <row r="14" spans="1:14" ht="12.75">
      <c r="A14" s="4"/>
      <c r="B14" s="4"/>
      <c r="C14" s="4"/>
      <c r="D14" s="4"/>
      <c r="E14" s="4"/>
      <c r="F14" s="4"/>
      <c r="G14" s="4"/>
      <c r="H14" s="4"/>
      <c r="I14" s="4"/>
      <c r="J14" s="4"/>
      <c r="K14" s="4"/>
      <c r="L14" s="4"/>
      <c r="M14" s="4"/>
      <c r="N14" s="4"/>
    </row>
    <row r="15" spans="1:14" ht="12.75">
      <c r="A15" s="4"/>
      <c r="B15" s="70"/>
      <c r="C15" s="4"/>
      <c r="D15" s="4"/>
      <c r="F15" s="70"/>
      <c r="G15" s="4"/>
      <c r="H15" s="4"/>
      <c r="I15" s="4"/>
      <c r="J15" s="4"/>
      <c r="K15" s="4"/>
      <c r="L15" s="4"/>
      <c r="M15" s="71"/>
      <c r="N15" s="4"/>
    </row>
    <row r="16" spans="1:13" ht="12.75">
      <c r="A16" s="6"/>
      <c r="E16" s="46"/>
      <c r="F16" s="46"/>
      <c r="I16" s="118"/>
      <c r="L16" s="280"/>
      <c r="M16" s="292"/>
    </row>
    <row r="18" spans="5:6" ht="12.75">
      <c r="E18" s="976"/>
      <c r="F18" s="23"/>
    </row>
    <row r="21" ht="12.75">
      <c r="E21" s="14"/>
    </row>
  </sheetData>
  <sheetProtection/>
  <mergeCells count="3">
    <mergeCell ref="L6:M6"/>
    <mergeCell ref="B6:D6"/>
    <mergeCell ref="E6:G6"/>
  </mergeCells>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AG159"/>
  <sheetViews>
    <sheetView zoomScalePageLayoutView="0" workbookViewId="0" topLeftCell="A1">
      <pane xSplit="1" ySplit="8" topLeftCell="B38" activePane="bottomRight" state="frozen"/>
      <selection pane="topLeft" activeCell="A1" sqref="A1"/>
      <selection pane="topRight" activeCell="B1" sqref="B1"/>
      <selection pane="bottomLeft" activeCell="A7" sqref="A7"/>
      <selection pane="bottomRight" activeCell="B4" sqref="B4:C7"/>
    </sheetView>
  </sheetViews>
  <sheetFormatPr defaultColWidth="8.8515625" defaultRowHeight="12.75"/>
  <cols>
    <col min="1" max="1" width="18.8515625" style="0" customWidth="1"/>
    <col min="2" max="2" width="8.8515625" style="0" customWidth="1"/>
    <col min="3" max="15" width="0" style="0" hidden="1" customWidth="1"/>
    <col min="16" max="16" width="8.8515625" style="0" customWidth="1"/>
    <col min="17" max="17" width="0" style="0" hidden="1" customWidth="1"/>
    <col min="18" max="18" width="8.8515625" style="0" customWidth="1"/>
    <col min="19" max="19" width="0" style="0" hidden="1" customWidth="1"/>
    <col min="20" max="20" width="8.8515625" style="0" customWidth="1"/>
    <col min="21" max="21" width="0" style="0" hidden="1" customWidth="1"/>
    <col min="22" max="22" width="8.8515625" style="0" customWidth="1"/>
    <col min="23" max="27" width="0" style="0" hidden="1" customWidth="1"/>
    <col min="28" max="28" width="8.8515625" style="0" customWidth="1"/>
    <col min="29" max="29" width="0" style="0" hidden="1" customWidth="1"/>
    <col min="30" max="30" width="8.8515625" style="0" customWidth="1"/>
    <col min="31" max="31" width="0" style="0" hidden="1" customWidth="1"/>
    <col min="32" max="32" width="14.7109375" style="0" customWidth="1"/>
  </cols>
  <sheetData>
    <row r="1" ht="18">
      <c r="A1" s="301" t="s">
        <v>1042</v>
      </c>
    </row>
    <row r="2" ht="15.75" customHeight="1">
      <c r="A2" s="14" t="s">
        <v>1043</v>
      </c>
    </row>
    <row r="3" ht="6.75" customHeight="1">
      <c r="A3" s="301"/>
    </row>
    <row r="4" spans="2:32" ht="15" customHeight="1">
      <c r="B4" s="1195" t="s">
        <v>124</v>
      </c>
      <c r="C4" s="1196"/>
      <c r="D4" s="1201" t="s">
        <v>125</v>
      </c>
      <c r="E4" s="1196"/>
      <c r="F4" s="1195" t="s">
        <v>126</v>
      </c>
      <c r="G4" s="1196"/>
      <c r="H4" s="1195" t="s">
        <v>127</v>
      </c>
      <c r="I4" s="1196"/>
      <c r="J4" s="1195" t="s">
        <v>128</v>
      </c>
      <c r="K4" s="1196"/>
      <c r="L4" s="1202" t="s">
        <v>129</v>
      </c>
      <c r="M4" s="1203"/>
      <c r="N4" s="1203"/>
      <c r="O4" s="1204"/>
      <c r="P4" s="1195" t="s">
        <v>130</v>
      </c>
      <c r="Q4" s="1196"/>
      <c r="R4" s="1195" t="s">
        <v>131</v>
      </c>
      <c r="S4" s="1205"/>
      <c r="T4" s="1205"/>
      <c r="U4" s="1205"/>
      <c r="V4" s="1205"/>
      <c r="W4" s="1206"/>
      <c r="X4" s="1195" t="s">
        <v>562</v>
      </c>
      <c r="Y4" s="1206"/>
      <c r="Z4" s="1195" t="s">
        <v>563</v>
      </c>
      <c r="AA4" s="1189"/>
      <c r="AB4" s="1201" t="s">
        <v>132</v>
      </c>
      <c r="AC4" s="1206"/>
      <c r="AD4" s="1201" t="s">
        <v>564</v>
      </c>
      <c r="AE4" s="1205"/>
      <c r="AF4" s="1213" t="s">
        <v>45</v>
      </c>
    </row>
    <row r="5" spans="2:32" ht="12.75">
      <c r="B5" s="1197"/>
      <c r="C5" s="1198"/>
      <c r="D5" s="1197"/>
      <c r="E5" s="1198"/>
      <c r="F5" s="1197"/>
      <c r="G5" s="1198"/>
      <c r="H5" s="1197"/>
      <c r="I5" s="1198"/>
      <c r="J5" s="1197"/>
      <c r="K5" s="1198"/>
      <c r="L5" s="1195" t="s">
        <v>133</v>
      </c>
      <c r="M5" s="1196"/>
      <c r="N5" s="1195" t="s">
        <v>134</v>
      </c>
      <c r="O5" s="1196"/>
      <c r="P5" s="1197"/>
      <c r="Q5" s="1198"/>
      <c r="R5" s="1207"/>
      <c r="S5" s="1208"/>
      <c r="T5" s="1208"/>
      <c r="U5" s="1208"/>
      <c r="V5" s="1208"/>
      <c r="W5" s="1209"/>
      <c r="X5" s="1207"/>
      <c r="Y5" s="1209"/>
      <c r="Z5" s="1207"/>
      <c r="AA5" s="1208"/>
      <c r="AB5" s="1207"/>
      <c r="AC5" s="1209"/>
      <c r="AD5" s="1207"/>
      <c r="AE5" s="1208"/>
      <c r="AF5" s="1214"/>
    </row>
    <row r="6" spans="2:32" ht="12.75">
      <c r="B6" s="1197"/>
      <c r="C6" s="1198"/>
      <c r="D6" s="1197"/>
      <c r="E6" s="1198"/>
      <c r="F6" s="1197"/>
      <c r="G6" s="1198"/>
      <c r="H6" s="1197"/>
      <c r="I6" s="1198"/>
      <c r="J6" s="1197"/>
      <c r="K6" s="1198"/>
      <c r="L6" s="1197"/>
      <c r="M6" s="1198"/>
      <c r="N6" s="1197"/>
      <c r="O6" s="1198"/>
      <c r="P6" s="1197"/>
      <c r="Q6" s="1198"/>
      <c r="R6" s="1207"/>
      <c r="S6" s="1208"/>
      <c r="T6" s="1208"/>
      <c r="U6" s="1208"/>
      <c r="V6" s="1208"/>
      <c r="W6" s="1209"/>
      <c r="X6" s="1207"/>
      <c r="Y6" s="1209"/>
      <c r="Z6" s="1207"/>
      <c r="AA6" s="1208"/>
      <c r="AB6" s="1207"/>
      <c r="AC6" s="1209"/>
      <c r="AD6" s="1207"/>
      <c r="AE6" s="1208"/>
      <c r="AF6" s="1214"/>
    </row>
    <row r="7" spans="2:32" ht="12.75">
      <c r="B7" s="1199"/>
      <c r="C7" s="1200"/>
      <c r="D7" s="1199"/>
      <c r="E7" s="1200"/>
      <c r="F7" s="1199"/>
      <c r="G7" s="1200"/>
      <c r="H7" s="1199"/>
      <c r="I7" s="1200"/>
      <c r="J7" s="1199"/>
      <c r="K7" s="1200"/>
      <c r="L7" s="1199"/>
      <c r="M7" s="1200"/>
      <c r="N7" s="1199"/>
      <c r="O7" s="1200"/>
      <c r="P7" s="1199"/>
      <c r="Q7" s="1200"/>
      <c r="R7" s="1210"/>
      <c r="S7" s="1211"/>
      <c r="T7" s="1211"/>
      <c r="U7" s="1211"/>
      <c r="V7" s="1211"/>
      <c r="W7" s="1212"/>
      <c r="X7" s="1210"/>
      <c r="Y7" s="1212"/>
      <c r="Z7" s="1210"/>
      <c r="AA7" s="1211"/>
      <c r="AB7" s="1210"/>
      <c r="AC7" s="1212"/>
      <c r="AD7" s="1210"/>
      <c r="AE7" s="1211"/>
      <c r="AF7" s="1215"/>
    </row>
    <row r="8" spans="2:32" ht="12.75">
      <c r="B8" s="1216" t="s">
        <v>477</v>
      </c>
      <c r="C8" s="1216"/>
      <c r="D8" s="1216" t="s">
        <v>478</v>
      </c>
      <c r="E8" s="1216"/>
      <c r="F8" s="1216" t="s">
        <v>477</v>
      </c>
      <c r="G8" s="1216"/>
      <c r="H8" s="1216" t="s">
        <v>478</v>
      </c>
      <c r="I8" s="1216"/>
      <c r="J8" s="1216" t="s">
        <v>477</v>
      </c>
      <c r="K8" s="1216"/>
      <c r="L8" s="1216" t="s">
        <v>478</v>
      </c>
      <c r="M8" s="1216"/>
      <c r="N8" s="1216" t="s">
        <v>478</v>
      </c>
      <c r="O8" s="1216"/>
      <c r="P8" s="1216" t="s">
        <v>478</v>
      </c>
      <c r="Q8" s="1216"/>
      <c r="R8" s="1216" t="s">
        <v>477</v>
      </c>
      <c r="S8" s="1216"/>
      <c r="T8" s="1216" t="s">
        <v>66</v>
      </c>
      <c r="U8" s="1216"/>
      <c r="V8" s="1216" t="s">
        <v>479</v>
      </c>
      <c r="W8" s="1216"/>
      <c r="X8" s="1216" t="s">
        <v>480</v>
      </c>
      <c r="Y8" s="1216"/>
      <c r="Z8" s="1216" t="s">
        <v>135</v>
      </c>
      <c r="AA8" s="1216"/>
      <c r="AB8" s="1216" t="s">
        <v>480</v>
      </c>
      <c r="AC8" s="1216"/>
      <c r="AD8" s="1216" t="s">
        <v>136</v>
      </c>
      <c r="AE8" s="1216"/>
      <c r="AF8" s="653" t="s">
        <v>828</v>
      </c>
    </row>
    <row r="9" spans="1:32" ht="12.75">
      <c r="A9" s="248" t="s">
        <v>481</v>
      </c>
      <c r="B9" s="302">
        <f>B13+B15+B17+B19+B21+B25+B27+B29</f>
        <v>23.87440413294884</v>
      </c>
      <c r="C9" s="303"/>
      <c r="D9" s="303"/>
      <c r="E9" s="303"/>
      <c r="F9" s="303"/>
      <c r="G9" s="303"/>
      <c r="H9" s="303"/>
      <c r="I9" s="303"/>
      <c r="J9" s="303"/>
      <c r="K9" s="303"/>
      <c r="L9" s="303"/>
      <c r="M9" s="303"/>
      <c r="N9" s="303"/>
      <c r="O9" s="303"/>
      <c r="P9" s="304">
        <f>1-(R9/B9)</f>
        <v>0.5717931302448958</v>
      </c>
      <c r="Q9" s="303"/>
      <c r="R9" s="302">
        <f>R13+R15+R17+R19+R21+R25+R27+R29</f>
        <v>10.223183861038345</v>
      </c>
      <c r="S9" s="303"/>
      <c r="T9" s="302">
        <f>T13+T15+T17+T19+T21+T25+T27+T29</f>
        <v>0.44813956651126996</v>
      </c>
      <c r="U9" s="303"/>
      <c r="V9" s="302">
        <f>V13+V15+V17+V19+V21+V25+V27+V29</f>
        <v>12.70453264081125</v>
      </c>
      <c r="W9" s="303"/>
      <c r="X9" s="303"/>
      <c r="Y9" s="303"/>
      <c r="Z9" s="303"/>
      <c r="AA9" s="303"/>
      <c r="AB9" s="302">
        <f>AB13+AB15+AB17+AB19+AB21+AB25+AB27+AB29</f>
        <v>3.035777963636166</v>
      </c>
      <c r="AC9" s="303"/>
      <c r="AD9" s="305">
        <f>AD13+AD15+AD17+AD19+AD21+AD25+AD27+AD29</f>
        <v>0.14302051853633085</v>
      </c>
      <c r="AF9" s="306">
        <f>B9/AD9</f>
        <v>166.92992290392328</v>
      </c>
    </row>
    <row r="10" spans="1:32" ht="12.75">
      <c r="A10" s="247"/>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F10" s="46"/>
    </row>
    <row r="11" spans="1:30" ht="12.75">
      <c r="A11" s="238" t="s">
        <v>482</v>
      </c>
      <c r="B11" s="208">
        <v>5.845192533524538</v>
      </c>
      <c r="C11" s="208"/>
      <c r="D11" s="208"/>
      <c r="E11" s="208"/>
      <c r="F11" s="208"/>
      <c r="G11" s="208"/>
      <c r="H11" s="208"/>
      <c r="I11" s="208"/>
      <c r="J11" s="208"/>
      <c r="K11" s="208"/>
      <c r="L11" s="208"/>
      <c r="M11" s="208"/>
      <c r="N11" s="208"/>
      <c r="O11" s="208"/>
      <c r="P11" s="208">
        <v>60.30896552933418</v>
      </c>
      <c r="Q11" s="208"/>
      <c r="R11" s="208">
        <v>2.3200173833580093</v>
      </c>
      <c r="S11" s="208"/>
      <c r="T11" s="208">
        <v>0.1016993921472004</v>
      </c>
      <c r="U11" s="208"/>
      <c r="V11" s="208">
        <v>2.8831269176770578</v>
      </c>
      <c r="W11" s="208"/>
      <c r="X11" s="208"/>
      <c r="Y11" s="208"/>
      <c r="Z11" s="208"/>
      <c r="AA11" s="208"/>
      <c r="AB11" s="208">
        <v>0.9821641148130638</v>
      </c>
      <c r="AC11" s="208"/>
      <c r="AD11" s="208">
        <v>0.031682713381066575</v>
      </c>
    </row>
    <row r="12" spans="1:30" ht="12.75">
      <c r="A12" s="238" t="s">
        <v>87</v>
      </c>
      <c r="B12" s="272">
        <v>2.5150839034963717</v>
      </c>
      <c r="C12" s="208"/>
      <c r="D12" s="208"/>
      <c r="E12" s="208"/>
      <c r="F12" s="208"/>
      <c r="G12" s="208"/>
      <c r="H12" s="208"/>
      <c r="I12" s="208"/>
      <c r="J12" s="208"/>
      <c r="K12" s="208"/>
      <c r="L12" s="208"/>
      <c r="M12" s="208"/>
      <c r="N12" s="208"/>
      <c r="O12" s="208"/>
      <c r="P12" s="208">
        <v>37.8044864</v>
      </c>
      <c r="Q12" s="208"/>
      <c r="R12" s="208">
        <v>1.5642693512504966</v>
      </c>
      <c r="S12" s="208"/>
      <c r="T12" s="208">
        <v>0.06857071128769301</v>
      </c>
      <c r="U12" s="208"/>
      <c r="V12" s="208">
        <v>1.943945379650453</v>
      </c>
      <c r="W12" s="208"/>
      <c r="X12" s="208"/>
      <c r="Y12" s="208"/>
      <c r="Z12" s="208"/>
      <c r="AA12" s="208"/>
      <c r="AB12" s="208">
        <v>0.5493758681620845</v>
      </c>
      <c r="AC12" s="208"/>
      <c r="AD12" s="208">
        <v>0.010564920541578548</v>
      </c>
    </row>
    <row r="13" spans="1:30" ht="12.75">
      <c r="A13" s="308" t="s">
        <v>483</v>
      </c>
      <c r="B13" s="309">
        <f>SUM(B11:B12)</f>
        <v>8.36027643702091</v>
      </c>
      <c r="C13" s="309"/>
      <c r="D13" s="309"/>
      <c r="E13" s="309"/>
      <c r="F13" s="309"/>
      <c r="G13" s="309"/>
      <c r="H13" s="309"/>
      <c r="I13" s="309"/>
      <c r="J13" s="309"/>
      <c r="K13" s="309"/>
      <c r="L13" s="309"/>
      <c r="M13" s="309"/>
      <c r="N13" s="309"/>
      <c r="O13" s="309"/>
      <c r="P13" s="310">
        <f>1-(R13/B13)</f>
        <v>0.535387763327043</v>
      </c>
      <c r="Q13" s="309"/>
      <c r="R13" s="309">
        <f>SUM(R11:R12)</f>
        <v>3.884286734608506</v>
      </c>
      <c r="S13" s="309"/>
      <c r="T13" s="309">
        <f>SUM(T11:T12)</f>
        <v>0.1702701034348934</v>
      </c>
      <c r="U13" s="309"/>
      <c r="V13" s="309">
        <f>SUM(V11:V12)</f>
        <v>4.827072297327511</v>
      </c>
      <c r="W13" s="309"/>
      <c r="X13" s="309"/>
      <c r="Y13" s="309"/>
      <c r="Z13" s="309"/>
      <c r="AA13" s="309"/>
      <c r="AB13" s="309">
        <f>SUM(AB11:AB12)</f>
        <v>1.5315399829751484</v>
      </c>
      <c r="AC13" s="309"/>
      <c r="AD13" s="309">
        <f>SUM(AD11:AD12)</f>
        <v>0.04224763392264512</v>
      </c>
    </row>
    <row r="14" spans="1:30" ht="12.75">
      <c r="A14" s="238"/>
      <c r="B14" s="208"/>
      <c r="C14" s="208"/>
      <c r="D14" s="208"/>
      <c r="E14" s="208"/>
      <c r="F14" s="208"/>
      <c r="G14" s="208"/>
      <c r="H14" s="208"/>
      <c r="I14" s="208"/>
      <c r="J14" s="208"/>
      <c r="K14" s="208"/>
      <c r="L14" s="208"/>
      <c r="M14" s="208"/>
      <c r="N14" s="208"/>
      <c r="O14" s="208"/>
      <c r="P14" s="41"/>
      <c r="Q14" s="208"/>
      <c r="R14" s="208"/>
      <c r="S14" s="208"/>
      <c r="T14" s="208"/>
      <c r="U14" s="208"/>
      <c r="V14" s="208"/>
      <c r="W14" s="208"/>
      <c r="X14" s="208"/>
      <c r="Y14" s="208"/>
      <c r="Z14" s="208"/>
      <c r="AA14" s="208"/>
      <c r="AB14" s="208"/>
      <c r="AC14" s="208"/>
      <c r="AD14" s="208"/>
    </row>
    <row r="15" spans="1:30" ht="12.75">
      <c r="A15" s="247" t="s">
        <v>484</v>
      </c>
      <c r="B15" s="208">
        <v>0.6600557275255606</v>
      </c>
      <c r="C15" s="208"/>
      <c r="D15" s="208"/>
      <c r="E15" s="208"/>
      <c r="F15" s="208"/>
      <c r="G15" s="208"/>
      <c r="H15" s="208"/>
      <c r="I15" s="208"/>
      <c r="J15" s="208"/>
      <c r="K15" s="208"/>
      <c r="L15" s="208"/>
      <c r="M15" s="208"/>
      <c r="N15" s="208"/>
      <c r="O15" s="208"/>
      <c r="P15" s="41">
        <f>0.01*89.5444571107643</f>
        <v>0.895444571107643</v>
      </c>
      <c r="Q15" s="208"/>
      <c r="R15" s="208">
        <v>0.06901240968429148</v>
      </c>
      <c r="S15" s="208"/>
      <c r="T15" s="208">
        <v>0.003025201520407298</v>
      </c>
      <c r="U15" s="208"/>
      <c r="V15" s="208">
        <v>0.0857629505027867</v>
      </c>
      <c r="W15" s="208"/>
      <c r="X15" s="208"/>
      <c r="Y15" s="208"/>
      <c r="Z15" s="208"/>
      <c r="AA15" s="208"/>
      <c r="AB15" s="208">
        <v>0.026205345986962603</v>
      </c>
      <c r="AC15" s="208"/>
      <c r="AD15" s="208">
        <v>0.002382304180632964</v>
      </c>
    </row>
    <row r="16" spans="1:30" ht="12.75">
      <c r="A16" s="238"/>
      <c r="B16" s="208"/>
      <c r="C16" s="208"/>
      <c r="D16" s="208"/>
      <c r="E16" s="208"/>
      <c r="F16" s="208"/>
      <c r="G16" s="208"/>
      <c r="H16" s="208"/>
      <c r="I16" s="208"/>
      <c r="J16" s="208"/>
      <c r="K16" s="208"/>
      <c r="L16" s="208"/>
      <c r="M16" s="208"/>
      <c r="N16" s="208"/>
      <c r="O16" s="208"/>
      <c r="P16" s="41"/>
      <c r="Q16" s="208"/>
      <c r="R16" s="208"/>
      <c r="S16" s="208"/>
      <c r="T16" s="208"/>
      <c r="U16" s="208"/>
      <c r="V16" s="208"/>
      <c r="W16" s="208"/>
      <c r="X16" s="208"/>
      <c r="Y16" s="208"/>
      <c r="Z16" s="208"/>
      <c r="AA16" s="208"/>
      <c r="AB16" s="208"/>
      <c r="AC16" s="208"/>
      <c r="AD16" s="208"/>
    </row>
    <row r="17" spans="1:30" ht="12.75">
      <c r="A17" s="247" t="s">
        <v>485</v>
      </c>
      <c r="B17" s="208">
        <v>0.2689551220603903</v>
      </c>
      <c r="C17" s="208"/>
      <c r="D17" s="208"/>
      <c r="E17" s="208"/>
      <c r="F17" s="208"/>
      <c r="G17" s="208"/>
      <c r="H17" s="208"/>
      <c r="I17" s="208"/>
      <c r="J17" s="208"/>
      <c r="K17" s="208"/>
      <c r="L17" s="208"/>
      <c r="M17" s="208"/>
      <c r="N17" s="208"/>
      <c r="O17" s="208"/>
      <c r="P17" s="41">
        <f>0.01*70.8072125237155</f>
        <v>0.7080721252371551</v>
      </c>
      <c r="Q17" s="208"/>
      <c r="R17" s="208">
        <v>0.07851549718967134</v>
      </c>
      <c r="S17" s="208"/>
      <c r="T17" s="208">
        <v>0.0034417752192732647</v>
      </c>
      <c r="U17" s="208"/>
      <c r="V17" s="208">
        <v>0.09757260657878741</v>
      </c>
      <c r="W17" s="208"/>
      <c r="X17" s="208"/>
      <c r="Y17" s="208"/>
      <c r="Z17" s="208"/>
      <c r="AA17" s="208"/>
      <c r="AB17" s="208">
        <v>0.015611617052605987</v>
      </c>
      <c r="AC17" s="208"/>
      <c r="AD17" s="208">
        <v>0.0019514521315757483</v>
      </c>
    </row>
    <row r="18" spans="1:30" ht="12.75">
      <c r="A18" s="238"/>
      <c r="B18" s="208"/>
      <c r="C18" s="208"/>
      <c r="D18" s="208"/>
      <c r="E18" s="208"/>
      <c r="F18" s="208"/>
      <c r="G18" s="208"/>
      <c r="H18" s="208"/>
      <c r="I18" s="208"/>
      <c r="J18" s="208"/>
      <c r="K18" s="208"/>
      <c r="L18" s="208"/>
      <c r="M18" s="208"/>
      <c r="N18" s="208"/>
      <c r="O18" s="208"/>
      <c r="P18" s="41"/>
      <c r="Q18" s="208"/>
      <c r="R18" s="208"/>
      <c r="S18" s="208"/>
      <c r="T18" s="208"/>
      <c r="U18" s="208"/>
      <c r="V18" s="208"/>
      <c r="W18" s="208"/>
      <c r="X18" s="208"/>
      <c r="Y18" s="208"/>
      <c r="Z18" s="208"/>
      <c r="AA18" s="208"/>
      <c r="AB18" s="208"/>
      <c r="AC18" s="208"/>
      <c r="AD18" s="208"/>
    </row>
    <row r="19" spans="1:30" ht="12.75">
      <c r="A19" s="247" t="s">
        <v>486</v>
      </c>
      <c r="B19" s="208">
        <v>10.932342874620794</v>
      </c>
      <c r="C19" s="208"/>
      <c r="D19" s="208"/>
      <c r="E19" s="208"/>
      <c r="F19" s="208"/>
      <c r="G19" s="208"/>
      <c r="H19" s="208"/>
      <c r="I19" s="208"/>
      <c r="J19" s="208"/>
      <c r="K19" s="208"/>
      <c r="L19" s="208"/>
      <c r="M19" s="208"/>
      <c r="N19" s="208"/>
      <c r="O19" s="208"/>
      <c r="P19" s="41">
        <f>0.01*55.6988642157939</f>
        <v>0.556988642157939</v>
      </c>
      <c r="Q19" s="208"/>
      <c r="R19" s="208">
        <v>4.843152061280736</v>
      </c>
      <c r="S19" s="208"/>
      <c r="T19" s="208">
        <v>0.21230255611093635</v>
      </c>
      <c r="U19" s="208"/>
      <c r="V19" s="208">
        <v>6.0186713144669906</v>
      </c>
      <c r="W19" s="208"/>
      <c r="X19" s="208"/>
      <c r="Y19" s="208"/>
      <c r="Z19" s="208"/>
      <c r="AA19" s="208"/>
      <c r="AB19" s="208">
        <v>1.0151975711149142</v>
      </c>
      <c r="AC19" s="208"/>
      <c r="AD19" s="208">
        <v>0.07251411222249386</v>
      </c>
    </row>
    <row r="20" spans="1:30" ht="12.75">
      <c r="A20" s="238"/>
      <c r="B20" s="208"/>
      <c r="C20" s="208"/>
      <c r="D20" s="208"/>
      <c r="E20" s="208"/>
      <c r="F20" s="208"/>
      <c r="G20" s="208"/>
      <c r="H20" s="208"/>
      <c r="I20" s="208"/>
      <c r="J20" s="208"/>
      <c r="K20" s="208"/>
      <c r="L20" s="208"/>
      <c r="M20" s="208"/>
      <c r="N20" s="208"/>
      <c r="O20" s="208"/>
      <c r="P20" s="41"/>
      <c r="Q20" s="208"/>
      <c r="R20" s="208"/>
      <c r="S20" s="208"/>
      <c r="T20" s="208"/>
      <c r="U20" s="208"/>
      <c r="V20" s="208"/>
      <c r="W20" s="208"/>
      <c r="X20" s="208"/>
      <c r="Y20" s="208"/>
      <c r="Z20" s="208"/>
      <c r="AA20" s="208"/>
      <c r="AB20" s="208"/>
      <c r="AC20" s="208"/>
      <c r="AD20" s="208"/>
    </row>
    <row r="21" spans="1:30" ht="12.75">
      <c r="A21" s="247" t="s">
        <v>487</v>
      </c>
      <c r="B21" s="208">
        <v>0.3230589961959659</v>
      </c>
      <c r="C21" s="208"/>
      <c r="D21" s="208"/>
      <c r="E21" s="208"/>
      <c r="F21" s="208"/>
      <c r="G21" s="208"/>
      <c r="H21" s="208"/>
      <c r="I21" s="208"/>
      <c r="J21" s="208"/>
      <c r="K21" s="208"/>
      <c r="L21" s="208"/>
      <c r="M21" s="208"/>
      <c r="N21" s="208"/>
      <c r="O21" s="208"/>
      <c r="P21" s="41">
        <f>0.01*87.6889014226386</f>
        <v>0.876889014226386</v>
      </c>
      <c r="Q21" s="208"/>
      <c r="R21" s="208">
        <v>0.039772111484719555</v>
      </c>
      <c r="S21" s="208"/>
      <c r="T21" s="208">
        <v>0.0017434350239877068</v>
      </c>
      <c r="U21" s="208"/>
      <c r="V21" s="208">
        <v>0.049425511212539484</v>
      </c>
      <c r="W21" s="208"/>
      <c r="X21" s="208"/>
      <c r="Y21" s="208"/>
      <c r="Z21" s="208"/>
      <c r="AA21" s="208"/>
      <c r="AB21" s="208">
        <v>0.025081602704870788</v>
      </c>
      <c r="AC21" s="208"/>
      <c r="AD21" s="208">
        <v>0.0007376941972020819</v>
      </c>
    </row>
    <row r="22" spans="1:30" ht="12.75">
      <c r="A22" s="238"/>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row>
    <row r="23" spans="1:30" ht="12.75">
      <c r="A23" s="238" t="s">
        <v>488</v>
      </c>
      <c r="B23" s="208">
        <v>1.850567249678754</v>
      </c>
      <c r="C23" s="208"/>
      <c r="D23" s="208"/>
      <c r="E23" s="208"/>
      <c r="F23" s="208"/>
      <c r="G23" s="208"/>
      <c r="H23" s="208"/>
      <c r="I23" s="208"/>
      <c r="J23" s="208"/>
      <c r="K23" s="208"/>
      <c r="L23" s="208"/>
      <c r="M23" s="208"/>
      <c r="N23" s="208"/>
      <c r="O23" s="208"/>
      <c r="P23" s="208">
        <v>52.54002861326647</v>
      </c>
      <c r="Q23" s="208"/>
      <c r="R23" s="208">
        <v>0.8782786871897981</v>
      </c>
      <c r="S23" s="208"/>
      <c r="T23" s="208">
        <v>0.03849988765763499</v>
      </c>
      <c r="U23" s="208"/>
      <c r="V23" s="208">
        <v>1.0914525651501232</v>
      </c>
      <c r="W23" s="208"/>
      <c r="X23" s="208"/>
      <c r="Y23" s="208"/>
      <c r="Z23" s="208"/>
      <c r="AA23" s="208"/>
      <c r="AB23" s="208">
        <v>0.2546722652016954</v>
      </c>
      <c r="AC23" s="208"/>
      <c r="AD23" s="208">
        <v>0.018190876085835386</v>
      </c>
    </row>
    <row r="24" spans="1:30" ht="12.75">
      <c r="A24" s="238" t="s">
        <v>87</v>
      </c>
      <c r="B24" s="272">
        <v>0.6740166346189416</v>
      </c>
      <c r="C24" s="208"/>
      <c r="D24" s="208"/>
      <c r="E24" s="208"/>
      <c r="F24" s="208"/>
      <c r="G24" s="208"/>
      <c r="H24" s="208"/>
      <c r="I24" s="208"/>
      <c r="J24" s="208"/>
      <c r="K24" s="208"/>
      <c r="L24" s="208"/>
      <c r="M24" s="208"/>
      <c r="N24" s="208"/>
      <c r="O24" s="208"/>
      <c r="P24" s="208">
        <v>56.615427999999994</v>
      </c>
      <c r="Q24" s="208"/>
      <c r="R24" s="208">
        <v>0.2924192321382316</v>
      </c>
      <c r="S24" s="208"/>
      <c r="T24" s="208">
        <v>0.012818377299210154</v>
      </c>
      <c r="U24" s="208"/>
      <c r="V24" s="208">
        <v>0.3633945872439582</v>
      </c>
      <c r="W24" s="208"/>
      <c r="X24" s="208"/>
      <c r="Y24" s="208"/>
      <c r="Z24" s="208"/>
      <c r="AA24" s="208"/>
      <c r="AB24" s="208">
        <v>0.11666878853621816</v>
      </c>
      <c r="AC24" s="208"/>
      <c r="AD24" s="208">
        <v>0.001912603090757675</v>
      </c>
    </row>
    <row r="25" spans="1:30" ht="12.75">
      <c r="A25" s="308" t="s">
        <v>83</v>
      </c>
      <c r="B25" s="309">
        <f>SUM(B23:B24)</f>
        <v>2.5245838842976953</v>
      </c>
      <c r="C25" s="309"/>
      <c r="D25" s="309"/>
      <c r="E25" s="309"/>
      <c r="F25" s="309"/>
      <c r="G25" s="309"/>
      <c r="H25" s="309"/>
      <c r="I25" s="309"/>
      <c r="J25" s="309"/>
      <c r="K25" s="309"/>
      <c r="L25" s="309"/>
      <c r="M25" s="309"/>
      <c r="N25" s="309"/>
      <c r="O25" s="309"/>
      <c r="P25" s="310">
        <f>1-(R25/B25)</f>
        <v>0.5362808395437009</v>
      </c>
      <c r="Q25" s="309"/>
      <c r="R25" s="309">
        <f>SUM(R23:R24)</f>
        <v>1.1706979193280298</v>
      </c>
      <c r="S25" s="309"/>
      <c r="T25" s="309">
        <f>SUM(T23:T24)</f>
        <v>0.05131826495684515</v>
      </c>
      <c r="U25" s="309"/>
      <c r="V25" s="309">
        <f>SUM(V23:V24)</f>
        <v>1.4548471523940814</v>
      </c>
      <c r="W25" s="309"/>
      <c r="X25" s="309"/>
      <c r="Y25" s="309"/>
      <c r="Z25" s="309"/>
      <c r="AA25" s="309"/>
      <c r="AB25" s="309">
        <f>SUM(AB23:AB24)</f>
        <v>0.37134105373791354</v>
      </c>
      <c r="AC25" s="309"/>
      <c r="AD25" s="309">
        <f>SUM(AD23:AD24)</f>
        <v>0.02010347917659306</v>
      </c>
    </row>
    <row r="26" spans="1:30" ht="12.75">
      <c r="A26" s="238"/>
      <c r="B26" s="208"/>
      <c r="C26" s="208"/>
      <c r="D26" s="208"/>
      <c r="E26" s="208"/>
      <c r="F26" s="208"/>
      <c r="G26" s="208"/>
      <c r="H26" s="208"/>
      <c r="I26" s="208"/>
      <c r="J26" s="208"/>
      <c r="K26" s="208"/>
      <c r="L26" s="208"/>
      <c r="M26" s="208"/>
      <c r="N26" s="208"/>
      <c r="O26" s="208"/>
      <c r="P26" s="41"/>
      <c r="Q26" s="208"/>
      <c r="R26" s="208"/>
      <c r="S26" s="208"/>
      <c r="T26" s="208"/>
      <c r="U26" s="208"/>
      <c r="V26" s="208"/>
      <c r="W26" s="208"/>
      <c r="X26" s="208"/>
      <c r="Y26" s="208"/>
      <c r="Z26" s="208"/>
      <c r="AA26" s="208"/>
      <c r="AB26" s="208"/>
      <c r="AC26" s="208"/>
      <c r="AD26" s="208"/>
    </row>
    <row r="27" spans="1:30" ht="12.75">
      <c r="A27" s="247" t="s">
        <v>489</v>
      </c>
      <c r="B27" s="208">
        <v>0.403214625634273</v>
      </c>
      <c r="C27" s="208"/>
      <c r="D27" s="208"/>
      <c r="E27" s="208"/>
      <c r="F27" s="208"/>
      <c r="G27" s="208"/>
      <c r="H27" s="208"/>
      <c r="I27" s="208"/>
      <c r="J27" s="208"/>
      <c r="K27" s="208"/>
      <c r="L27" s="208"/>
      <c r="M27" s="208"/>
      <c r="N27" s="208"/>
      <c r="O27" s="208"/>
      <c r="P27" s="41">
        <f>0.01*83.3777556158129</f>
        <v>0.833777556158129</v>
      </c>
      <c r="Q27" s="208"/>
      <c r="R27" s="208">
        <v>0.06702332046571405</v>
      </c>
      <c r="S27" s="208"/>
      <c r="T27" s="208">
        <v>0.0029380085683600675</v>
      </c>
      <c r="U27" s="208"/>
      <c r="V27" s="208">
        <v>0.08329107390872373</v>
      </c>
      <c r="W27" s="208"/>
      <c r="X27" s="208"/>
      <c r="Y27" s="208"/>
      <c r="Z27" s="208"/>
      <c r="AA27" s="208"/>
      <c r="AB27" s="208">
        <v>0.027258896915582316</v>
      </c>
      <c r="AC27" s="208"/>
      <c r="AD27" s="208">
        <v>0.0015143831619767953</v>
      </c>
    </row>
    <row r="28" spans="1:30" ht="12.75">
      <c r="A28" s="238"/>
      <c r="B28" s="208"/>
      <c r="C28" s="208"/>
      <c r="D28" s="208"/>
      <c r="E28" s="208"/>
      <c r="F28" s="208"/>
      <c r="G28" s="208"/>
      <c r="H28" s="208"/>
      <c r="I28" s="208"/>
      <c r="J28" s="208"/>
      <c r="K28" s="208"/>
      <c r="L28" s="208"/>
      <c r="M28" s="208"/>
      <c r="N28" s="208"/>
      <c r="O28" s="208"/>
      <c r="P28" s="41"/>
      <c r="Q28" s="208"/>
      <c r="R28" s="208"/>
      <c r="S28" s="208"/>
      <c r="T28" s="208"/>
      <c r="U28" s="208"/>
      <c r="V28" s="208"/>
      <c r="W28" s="208"/>
      <c r="X28" s="208"/>
      <c r="Y28" s="208"/>
      <c r="Z28" s="208"/>
      <c r="AA28" s="208"/>
      <c r="AB28" s="208"/>
      <c r="AC28" s="208"/>
      <c r="AD28" s="208"/>
    </row>
    <row r="29" spans="1:30" ht="12.75">
      <c r="A29" s="247" t="s">
        <v>490</v>
      </c>
      <c r="B29" s="208">
        <v>0.40191646559325084</v>
      </c>
      <c r="C29" s="208"/>
      <c r="D29" s="208"/>
      <c r="E29" s="208"/>
      <c r="F29" s="208"/>
      <c r="G29" s="208"/>
      <c r="H29" s="208"/>
      <c r="I29" s="208"/>
      <c r="J29" s="208"/>
      <c r="K29" s="208"/>
      <c r="L29" s="208"/>
      <c r="M29" s="208"/>
      <c r="N29" s="208"/>
      <c r="O29" s="208"/>
      <c r="P29" s="41">
        <f>0.01*82.4033566546505</f>
        <v>0.824033566546505</v>
      </c>
      <c r="Q29" s="208"/>
      <c r="R29" s="208">
        <v>0.07072380699667855</v>
      </c>
      <c r="S29" s="208"/>
      <c r="T29" s="208">
        <v>0.0031002216765667313</v>
      </c>
      <c r="U29" s="208"/>
      <c r="V29" s="208">
        <v>0.08788973441982854</v>
      </c>
      <c r="W29" s="208"/>
      <c r="X29" s="208"/>
      <c r="Y29" s="208"/>
      <c r="Z29" s="208"/>
      <c r="AA29" s="208"/>
      <c r="AB29" s="208">
        <v>0.023541893148168354</v>
      </c>
      <c r="AC29" s="208"/>
      <c r="AD29" s="208">
        <v>0.0015694595432112237</v>
      </c>
    </row>
    <row r="30" spans="1:30" ht="12.75">
      <c r="A30" s="238"/>
      <c r="B30" s="208"/>
      <c r="C30" s="208"/>
      <c r="D30" s="208"/>
      <c r="E30" s="208"/>
      <c r="F30" s="208"/>
      <c r="G30" s="208"/>
      <c r="H30" s="208"/>
      <c r="I30" s="208"/>
      <c r="J30" s="208"/>
      <c r="K30" s="208"/>
      <c r="L30" s="208"/>
      <c r="M30" s="208"/>
      <c r="N30" s="208"/>
      <c r="O30" s="208"/>
      <c r="P30" s="41"/>
      <c r="Q30" s="208"/>
      <c r="R30" s="208"/>
      <c r="S30" s="208"/>
      <c r="T30" s="208"/>
      <c r="U30" s="208"/>
      <c r="V30" s="208"/>
      <c r="W30" s="208"/>
      <c r="X30" s="208"/>
      <c r="Y30" s="208"/>
      <c r="Z30" s="208"/>
      <c r="AA30" s="208"/>
      <c r="AB30" s="208"/>
      <c r="AC30" s="208"/>
      <c r="AD30" s="208"/>
    </row>
    <row r="31" spans="1:32" ht="12.75">
      <c r="A31" s="311" t="s">
        <v>491</v>
      </c>
      <c r="B31" s="312">
        <f>B33+B38+B40+B42+B46</f>
        <v>112.45426265225993</v>
      </c>
      <c r="C31" s="312"/>
      <c r="D31" s="312"/>
      <c r="E31" s="312"/>
      <c r="F31" s="312"/>
      <c r="G31" s="312"/>
      <c r="H31" s="312"/>
      <c r="I31" s="312"/>
      <c r="J31" s="312"/>
      <c r="K31" s="312"/>
      <c r="L31" s="312"/>
      <c r="M31" s="312"/>
      <c r="N31" s="312"/>
      <c r="O31" s="312"/>
      <c r="P31" s="313">
        <f>1-(R31/B31)</f>
        <v>0.651402759890066</v>
      </c>
      <c r="Q31" s="312"/>
      <c r="R31" s="312">
        <f>R33+R38+R40+R42+R46</f>
        <v>39.201245599175444</v>
      </c>
      <c r="S31" s="312"/>
      <c r="T31" s="312">
        <f>T33+T38+T40+T42+T46</f>
        <v>1.7184107659912522</v>
      </c>
      <c r="U31" s="312"/>
      <c r="V31" s="312">
        <f>V33+V38+V40+V42+V46</f>
        <v>48.716086010469</v>
      </c>
      <c r="W31" s="312"/>
      <c r="X31" s="312"/>
      <c r="Y31" s="312"/>
      <c r="Z31" s="312"/>
      <c r="AA31" s="312"/>
      <c r="AB31" s="312">
        <f>AB33+AB38+AB40+AB42+AB46</f>
        <v>11.652105606209307</v>
      </c>
      <c r="AC31" s="312"/>
      <c r="AD31" s="312">
        <f>AD33+AD38+AD40+AD42+AD46</f>
        <v>0.26043555417412134</v>
      </c>
      <c r="AE31" s="314"/>
      <c r="AF31" s="312">
        <f>B31/AD31</f>
        <v>431.79305148587946</v>
      </c>
    </row>
    <row r="32" spans="1:30" ht="12.75">
      <c r="A32" s="247"/>
      <c r="B32" s="208"/>
      <c r="C32" s="208"/>
      <c r="D32" s="208"/>
      <c r="E32" s="208"/>
      <c r="F32" s="208"/>
      <c r="G32" s="208"/>
      <c r="H32" s="208"/>
      <c r="I32" s="208"/>
      <c r="J32" s="208"/>
      <c r="K32" s="208"/>
      <c r="L32" s="208"/>
      <c r="M32" s="208"/>
      <c r="N32" s="208"/>
      <c r="O32" s="208"/>
      <c r="P32" s="41"/>
      <c r="Q32" s="208"/>
      <c r="R32" s="208"/>
      <c r="S32" s="208"/>
      <c r="T32" s="208"/>
      <c r="U32" s="208"/>
      <c r="V32" s="208"/>
      <c r="W32" s="208"/>
      <c r="X32" s="208"/>
      <c r="Y32" s="208"/>
      <c r="Z32" s="208"/>
      <c r="AA32" s="208"/>
      <c r="AB32" s="208"/>
      <c r="AC32" s="208"/>
      <c r="AD32" s="208"/>
    </row>
    <row r="33" spans="1:30" ht="12.75">
      <c r="A33" s="238" t="s">
        <v>492</v>
      </c>
      <c r="B33" s="208">
        <v>4.329678994571147</v>
      </c>
      <c r="C33" s="208"/>
      <c r="D33" s="208"/>
      <c r="E33" s="208"/>
      <c r="F33" s="208"/>
      <c r="G33" s="208"/>
      <c r="H33" s="208"/>
      <c r="I33" s="208"/>
      <c r="J33" s="208"/>
      <c r="K33" s="208"/>
      <c r="L33" s="208"/>
      <c r="M33" s="208"/>
      <c r="N33" s="208"/>
      <c r="O33" s="208"/>
      <c r="P33" s="41">
        <f>0.01*54.3091904887801</f>
        <v>0.543091904887801</v>
      </c>
      <c r="Q33" s="208"/>
      <c r="R33" s="208">
        <v>1.978265381856803</v>
      </c>
      <c r="S33" s="208"/>
      <c r="T33" s="208">
        <v>0.08671848249235299</v>
      </c>
      <c r="U33" s="208"/>
      <c r="V33" s="208">
        <v>2.458425619416961</v>
      </c>
      <c r="W33" s="208"/>
      <c r="X33" s="208"/>
      <c r="Y33" s="208"/>
      <c r="Z33" s="208"/>
      <c r="AA33" s="208"/>
      <c r="AB33" s="208">
        <v>0.39160762079208233</v>
      </c>
      <c r="AC33" s="208"/>
      <c r="AD33" s="208">
        <v>0.02175597893289346</v>
      </c>
    </row>
    <row r="34" spans="1:30" ht="12.75">
      <c r="A34" s="238"/>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row>
    <row r="35" spans="1:30" ht="12.75">
      <c r="A35" s="238" t="s">
        <v>493</v>
      </c>
      <c r="B35" s="208">
        <v>7.84392173217338</v>
      </c>
      <c r="C35" s="208"/>
      <c r="D35" s="208"/>
      <c r="E35" s="208"/>
      <c r="F35" s="208"/>
      <c r="G35" s="208"/>
      <c r="H35" s="208"/>
      <c r="I35" s="208"/>
      <c r="J35" s="208"/>
      <c r="K35" s="208"/>
      <c r="L35" s="208"/>
      <c r="M35" s="208"/>
      <c r="N35" s="208"/>
      <c r="O35" s="208"/>
      <c r="P35" s="208">
        <v>49.392074768273176</v>
      </c>
      <c r="Q35" s="208"/>
      <c r="R35" s="208">
        <v>3.9696460454534757</v>
      </c>
      <c r="S35" s="208"/>
      <c r="T35" s="208">
        <v>0.17401188144453592</v>
      </c>
      <c r="U35" s="208"/>
      <c r="V35" s="208">
        <v>4.93314983301187</v>
      </c>
      <c r="W35" s="208"/>
      <c r="X35" s="208"/>
      <c r="Y35" s="208"/>
      <c r="Z35" s="208"/>
      <c r="AA35" s="208"/>
      <c r="AB35" s="208">
        <v>2.0040921196610726</v>
      </c>
      <c r="AC35" s="208"/>
      <c r="AD35" s="208">
        <v>0.03854023307040524</v>
      </c>
    </row>
    <row r="36" spans="1:30" ht="12.75">
      <c r="A36" s="238" t="s">
        <v>86</v>
      </c>
      <c r="B36" s="208">
        <v>0.8884229080084571</v>
      </c>
      <c r="C36" s="208"/>
      <c r="D36" s="208"/>
      <c r="E36" s="208"/>
      <c r="F36" s="208"/>
      <c r="G36" s="208"/>
      <c r="H36" s="208"/>
      <c r="I36" s="208"/>
      <c r="J36" s="208"/>
      <c r="K36" s="208"/>
      <c r="L36" s="208"/>
      <c r="M36" s="208"/>
      <c r="N36" s="208"/>
      <c r="O36" s="208"/>
      <c r="P36" s="208">
        <v>51.355000000000004</v>
      </c>
      <c r="Q36" s="208"/>
      <c r="R36" s="208">
        <v>0.43217332360071403</v>
      </c>
      <c r="S36" s="208"/>
      <c r="T36" s="208">
        <v>0.018944584048250477</v>
      </c>
      <c r="U36" s="208"/>
      <c r="V36" s="208">
        <v>0.5370694854758769</v>
      </c>
      <c r="W36" s="208"/>
      <c r="X36" s="208"/>
      <c r="Y36" s="208"/>
      <c r="Z36" s="208"/>
      <c r="AA36" s="208"/>
      <c r="AB36" s="208">
        <v>0.1324280923091203</v>
      </c>
      <c r="AC36" s="208"/>
      <c r="AD36" s="208">
        <v>0.003678558119697786</v>
      </c>
    </row>
    <row r="37" spans="1:30" ht="12.75">
      <c r="A37" s="238" t="s">
        <v>87</v>
      </c>
      <c r="B37" s="208">
        <v>1.6113715001245812</v>
      </c>
      <c r="C37" s="208"/>
      <c r="D37" s="208"/>
      <c r="E37" s="208"/>
      <c r="F37" s="208"/>
      <c r="G37" s="208"/>
      <c r="H37" s="208"/>
      <c r="I37" s="208"/>
      <c r="J37" s="208"/>
      <c r="K37" s="208"/>
      <c r="L37" s="208"/>
      <c r="M37" s="208"/>
      <c r="N37" s="208"/>
      <c r="O37" s="208"/>
      <c r="P37" s="208">
        <v>65.91212200000001</v>
      </c>
      <c r="Q37" s="208"/>
      <c r="R37" s="208">
        <v>0.5492823510892371</v>
      </c>
      <c r="S37" s="208"/>
      <c r="T37" s="208">
        <v>0.02407813045870628</v>
      </c>
      <c r="U37" s="208"/>
      <c r="V37" s="208">
        <v>0.6826029594390937</v>
      </c>
      <c r="W37" s="208"/>
      <c r="X37" s="208"/>
      <c r="Y37" s="208"/>
      <c r="Z37" s="208"/>
      <c r="AA37" s="208"/>
      <c r="AB37" s="208">
        <v>0.25246958773774697</v>
      </c>
      <c r="AC37" s="208"/>
      <c r="AD37" s="208">
        <v>0.004675362735884203</v>
      </c>
    </row>
    <row r="38" spans="1:30" ht="12.75">
      <c r="A38" s="308" t="s">
        <v>80</v>
      </c>
      <c r="B38" s="309">
        <f>SUM(B35:B37)</f>
        <v>10.343716140306418</v>
      </c>
      <c r="C38" s="309"/>
      <c r="D38" s="309"/>
      <c r="E38" s="309"/>
      <c r="F38" s="309"/>
      <c r="G38" s="309"/>
      <c r="H38" s="309"/>
      <c r="I38" s="309"/>
      <c r="J38" s="309"/>
      <c r="K38" s="309"/>
      <c r="L38" s="309"/>
      <c r="M38" s="309"/>
      <c r="N38" s="309"/>
      <c r="O38" s="309"/>
      <c r="P38" s="310">
        <f>1-(R38/B38)</f>
        <v>0.5213420734884207</v>
      </c>
      <c r="Q38" s="309"/>
      <c r="R38" s="309">
        <f>SUM(R35:R37)</f>
        <v>4.951101720143427</v>
      </c>
      <c r="S38" s="309">
        <f aca="true" t="shared" si="0" ref="S38:AD38">SUM(S35:S37)</f>
        <v>0</v>
      </c>
      <c r="T38" s="309">
        <f t="shared" si="0"/>
        <v>0.21703459595149266</v>
      </c>
      <c r="U38" s="309">
        <f t="shared" si="0"/>
        <v>0</v>
      </c>
      <c r="V38" s="309">
        <f t="shared" si="0"/>
        <v>6.152822277926841</v>
      </c>
      <c r="W38" s="309">
        <f t="shared" si="0"/>
        <v>0</v>
      </c>
      <c r="X38" s="309">
        <f t="shared" si="0"/>
        <v>0</v>
      </c>
      <c r="Y38" s="309">
        <f t="shared" si="0"/>
        <v>0</v>
      </c>
      <c r="Z38" s="309">
        <f t="shared" si="0"/>
        <v>0</v>
      </c>
      <c r="AA38" s="309">
        <f t="shared" si="0"/>
        <v>0</v>
      </c>
      <c r="AB38" s="309">
        <f t="shared" si="0"/>
        <v>2.38898979970794</v>
      </c>
      <c r="AC38" s="309">
        <f t="shared" si="0"/>
        <v>0</v>
      </c>
      <c r="AD38" s="309">
        <f t="shared" si="0"/>
        <v>0.046894153925987225</v>
      </c>
    </row>
    <row r="39" spans="1:30" ht="12.75">
      <c r="A39" s="238"/>
      <c r="B39" s="208"/>
      <c r="C39" s="208"/>
      <c r="D39" s="208"/>
      <c r="E39" s="208"/>
      <c r="F39" s="208"/>
      <c r="G39" s="208"/>
      <c r="H39" s="208"/>
      <c r="I39" s="208"/>
      <c r="J39" s="208"/>
      <c r="K39" s="208"/>
      <c r="L39" s="208"/>
      <c r="M39" s="208"/>
      <c r="N39" s="208"/>
      <c r="O39" s="208"/>
      <c r="P39" s="41"/>
      <c r="Q39" s="208"/>
      <c r="R39" s="208"/>
      <c r="S39" s="208"/>
      <c r="T39" s="208"/>
      <c r="U39" s="208"/>
      <c r="V39" s="208"/>
      <c r="W39" s="208"/>
      <c r="X39" s="208"/>
      <c r="Y39" s="208"/>
      <c r="Z39" s="208"/>
      <c r="AA39" s="208"/>
      <c r="AB39" s="208"/>
      <c r="AC39" s="208"/>
      <c r="AD39" s="208"/>
    </row>
    <row r="40" spans="1:32" ht="12.75">
      <c r="A40" s="247" t="s">
        <v>494</v>
      </c>
      <c r="B40" s="272">
        <v>4.62877824505816</v>
      </c>
      <c r="C40" s="272"/>
      <c r="D40" s="272"/>
      <c r="E40" s="272"/>
      <c r="F40" s="272"/>
      <c r="G40" s="272"/>
      <c r="H40" s="272"/>
      <c r="I40" s="272"/>
      <c r="J40" s="272"/>
      <c r="K40" s="272"/>
      <c r="L40" s="272"/>
      <c r="M40" s="272"/>
      <c r="N40" s="272"/>
      <c r="O40" s="272"/>
      <c r="P40" s="184">
        <f>0.01*99.2011200243046</f>
        <v>0.992011200243046</v>
      </c>
      <c r="Q40" s="272"/>
      <c r="R40" s="272">
        <v>0.03697838251911438</v>
      </c>
      <c r="S40" s="272"/>
      <c r="T40" s="272">
        <v>0.0016209701926187124</v>
      </c>
      <c r="U40" s="272"/>
      <c r="V40" s="272">
        <v>0.045953694475644194</v>
      </c>
      <c r="W40" s="272"/>
      <c r="X40" s="272"/>
      <c r="Y40" s="272"/>
      <c r="Z40" s="272"/>
      <c r="AA40" s="272"/>
      <c r="AB40" s="272">
        <v>0.011884576157494189</v>
      </c>
      <c r="AC40" s="272"/>
      <c r="AD40" s="272">
        <v>0.0003961525385831396</v>
      </c>
      <c r="AE40" s="14"/>
      <c r="AF40" s="14"/>
    </row>
    <row r="41" spans="1:30" ht="12.75">
      <c r="A41" s="238"/>
      <c r="B41" s="208"/>
      <c r="C41" s="208"/>
      <c r="D41" s="208"/>
      <c r="E41" s="208"/>
      <c r="F41" s="208"/>
      <c r="G41" s="208"/>
      <c r="H41" s="208"/>
      <c r="I41" s="208"/>
      <c r="J41" s="208"/>
      <c r="K41" s="208"/>
      <c r="L41" s="208"/>
      <c r="M41" s="208"/>
      <c r="N41" s="208"/>
      <c r="O41" s="208"/>
      <c r="Q41" s="208"/>
      <c r="R41" s="208"/>
      <c r="S41" s="208"/>
      <c r="T41" s="208"/>
      <c r="U41" s="208"/>
      <c r="V41" s="208"/>
      <c r="W41" s="208"/>
      <c r="X41" s="208"/>
      <c r="Y41" s="208"/>
      <c r="Z41" s="208"/>
      <c r="AA41" s="208"/>
      <c r="AB41" s="208"/>
      <c r="AC41" s="208"/>
      <c r="AD41" s="208"/>
    </row>
    <row r="42" spans="1:30" ht="12.75">
      <c r="A42" s="247" t="s">
        <v>495</v>
      </c>
      <c r="B42" s="208">
        <v>5.237726434417962</v>
      </c>
      <c r="C42" s="208"/>
      <c r="D42" s="208"/>
      <c r="E42" s="208"/>
      <c r="F42" s="208"/>
      <c r="G42" s="208"/>
      <c r="H42" s="208"/>
      <c r="I42" s="208"/>
      <c r="J42" s="208"/>
      <c r="K42" s="208"/>
      <c r="L42" s="208"/>
      <c r="M42" s="208"/>
      <c r="N42" s="208"/>
      <c r="O42" s="208"/>
      <c r="P42" s="41">
        <f>0.01*78.3734700542092</f>
        <v>0.783734700542092</v>
      </c>
      <c r="Q42" s="208"/>
      <c r="R42" s="208">
        <v>1.132738475818003</v>
      </c>
      <c r="S42" s="208"/>
      <c r="T42" s="208">
        <v>0.04965428935092616</v>
      </c>
      <c r="U42" s="208"/>
      <c r="V42" s="208">
        <v>1.4076742759540812</v>
      </c>
      <c r="W42" s="208"/>
      <c r="X42" s="208"/>
      <c r="Y42" s="208"/>
      <c r="Z42" s="208"/>
      <c r="AA42" s="208"/>
      <c r="AB42" s="208">
        <v>1.6610556456258159</v>
      </c>
      <c r="AC42" s="208"/>
      <c r="AD42" s="208">
        <v>0.009384495173027207</v>
      </c>
    </row>
    <row r="43" spans="1:30" ht="12.75">
      <c r="A43" s="247"/>
      <c r="B43" s="208"/>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row>
    <row r="44" spans="1:30" ht="12.75">
      <c r="A44" s="238" t="s">
        <v>496</v>
      </c>
      <c r="B44" s="208">
        <v>19.588609364940528</v>
      </c>
      <c r="C44" s="208"/>
      <c r="D44" s="208"/>
      <c r="E44" s="208"/>
      <c r="F44" s="208"/>
      <c r="G44" s="208"/>
      <c r="H44" s="208"/>
      <c r="I44" s="208"/>
      <c r="J44" s="208"/>
      <c r="K44" s="208"/>
      <c r="L44" s="208"/>
      <c r="M44" s="208"/>
      <c r="N44" s="208"/>
      <c r="O44" s="208"/>
      <c r="P44" s="208">
        <v>38.01201130252544</v>
      </c>
      <c r="Q44" s="208"/>
      <c r="R44" s="208">
        <v>12.14258495913178</v>
      </c>
      <c r="S44" s="208"/>
      <c r="T44" s="208">
        <v>0.5322776968386533</v>
      </c>
      <c r="U44" s="208"/>
      <c r="V44" s="208">
        <v>15.089806566527404</v>
      </c>
      <c r="W44" s="208"/>
      <c r="X44" s="208"/>
      <c r="Y44" s="208"/>
      <c r="Z44" s="208"/>
      <c r="AA44" s="208"/>
      <c r="AB44" s="208">
        <v>2.6826322784937604</v>
      </c>
      <c r="AC44" s="208"/>
      <c r="AD44" s="208">
        <v>0.08383225870293001</v>
      </c>
    </row>
    <row r="45" spans="1:30" ht="12.75">
      <c r="A45" s="238" t="s">
        <v>86</v>
      </c>
      <c r="B45" s="272">
        <v>68.32575347296572</v>
      </c>
      <c r="C45" s="208"/>
      <c r="D45" s="208"/>
      <c r="E45" s="208"/>
      <c r="F45" s="208"/>
      <c r="G45" s="208"/>
      <c r="H45" s="208"/>
      <c r="I45" s="208"/>
      <c r="J45" s="208"/>
      <c r="K45" s="208"/>
      <c r="L45" s="208"/>
      <c r="M45" s="208"/>
      <c r="N45" s="208"/>
      <c r="O45" s="208"/>
      <c r="P45" s="208">
        <v>72.2512</v>
      </c>
      <c r="Q45" s="208"/>
      <c r="R45" s="208">
        <v>18.959576679706316</v>
      </c>
      <c r="S45" s="208"/>
      <c r="T45" s="208">
        <v>0.8311047311652084</v>
      </c>
      <c r="U45" s="208"/>
      <c r="V45" s="208">
        <v>23.561403576168072</v>
      </c>
      <c r="W45" s="208"/>
      <c r="X45" s="208"/>
      <c r="Y45" s="208"/>
      <c r="Z45" s="208"/>
      <c r="AA45" s="208"/>
      <c r="AB45" s="208">
        <v>4.515935685432214</v>
      </c>
      <c r="AC45" s="208"/>
      <c r="AD45" s="208">
        <v>0.09817251490070031</v>
      </c>
    </row>
    <row r="46" spans="1:30" ht="12.75">
      <c r="A46" s="308" t="s">
        <v>84</v>
      </c>
      <c r="B46" s="309">
        <f>SUM(B44:B45)</f>
        <v>87.91436283790624</v>
      </c>
      <c r="C46" s="309"/>
      <c r="D46" s="309"/>
      <c r="E46" s="309"/>
      <c r="F46" s="309"/>
      <c r="G46" s="309"/>
      <c r="H46" s="309"/>
      <c r="I46" s="309"/>
      <c r="J46" s="309"/>
      <c r="K46" s="309"/>
      <c r="L46" s="309"/>
      <c r="M46" s="309"/>
      <c r="N46" s="309"/>
      <c r="O46" s="309"/>
      <c r="P46" s="310">
        <f>1-(R46/B46)</f>
        <v>0.6462220661692869</v>
      </c>
      <c r="Q46" s="309"/>
      <c r="R46" s="309">
        <f>SUM(R44:R45)</f>
        <v>31.102161638838098</v>
      </c>
      <c r="S46" s="309"/>
      <c r="T46" s="309">
        <f>SUM(T44:T45)</f>
        <v>1.3633824280038618</v>
      </c>
      <c r="U46" s="309"/>
      <c r="V46" s="309">
        <f>SUM(V44:V45)</f>
        <v>38.651210142695476</v>
      </c>
      <c r="W46" s="309"/>
      <c r="X46" s="309"/>
      <c r="Y46" s="309"/>
      <c r="Z46" s="309"/>
      <c r="AA46" s="309"/>
      <c r="AB46" s="309">
        <f>SUM(AB44:AB45)</f>
        <v>7.198567963925974</v>
      </c>
      <c r="AC46" s="309"/>
      <c r="AD46" s="309">
        <f>SUM(AD44:AD45)</f>
        <v>0.18200477360363032</v>
      </c>
    </row>
    <row r="47" spans="1:30" ht="12.75">
      <c r="A47" s="238"/>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row>
    <row r="48" spans="1:32" ht="12.75">
      <c r="A48" s="251" t="s">
        <v>497</v>
      </c>
      <c r="B48" s="315">
        <f>B53+B57+B61+B68</f>
        <v>147.05049726888785</v>
      </c>
      <c r="C48" s="315"/>
      <c r="D48" s="315"/>
      <c r="E48" s="315"/>
      <c r="F48" s="315"/>
      <c r="G48" s="315"/>
      <c r="H48" s="315"/>
      <c r="I48" s="315"/>
      <c r="J48" s="315"/>
      <c r="K48" s="315"/>
      <c r="L48" s="315"/>
      <c r="M48" s="315"/>
      <c r="N48" s="315"/>
      <c r="O48" s="315"/>
      <c r="P48" s="316">
        <f>1-(R48/B48)</f>
        <v>0.574676842903606</v>
      </c>
      <c r="Q48" s="315"/>
      <c r="R48" s="315">
        <f>R53+R57+R61+R68</f>
        <v>62.54398175099804</v>
      </c>
      <c r="S48" s="315">
        <f aca="true" t="shared" si="1" ref="S48:AD48">S53+S57+S61+S68</f>
        <v>0</v>
      </c>
      <c r="T48" s="315">
        <f t="shared" si="1"/>
        <v>2.741653994564298</v>
      </c>
      <c r="U48" s="315">
        <f t="shared" si="1"/>
        <v>0</v>
      </c>
      <c r="V48" s="315">
        <f t="shared" si="1"/>
        <v>77.72451991890055</v>
      </c>
      <c r="W48" s="315">
        <f t="shared" si="1"/>
        <v>0</v>
      </c>
      <c r="X48" s="315">
        <f t="shared" si="1"/>
        <v>0</v>
      </c>
      <c r="Y48" s="315">
        <f t="shared" si="1"/>
        <v>0</v>
      </c>
      <c r="Z48" s="315">
        <f t="shared" si="1"/>
        <v>0</v>
      </c>
      <c r="AA48" s="315">
        <f t="shared" si="1"/>
        <v>0</v>
      </c>
      <c r="AB48" s="315">
        <f t="shared" si="1"/>
        <v>85.21381304614394</v>
      </c>
      <c r="AC48" s="315">
        <f t="shared" si="1"/>
        <v>0</v>
      </c>
      <c r="AD48" s="315">
        <f t="shared" si="1"/>
        <v>0.6798823596963234</v>
      </c>
      <c r="AE48" s="317"/>
      <c r="AF48" s="315">
        <f>B48/AD48</f>
        <v>216.28814922418272</v>
      </c>
    </row>
    <row r="49" spans="1:32" s="27" customFormat="1" ht="12.75">
      <c r="A49" s="318"/>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F49" s="6"/>
    </row>
    <row r="50" spans="1:30" ht="12.75">
      <c r="A50" s="238" t="s">
        <v>498</v>
      </c>
      <c r="B50" s="208">
        <v>9.023258037280348</v>
      </c>
      <c r="C50" s="208"/>
      <c r="D50" s="208"/>
      <c r="E50" s="208"/>
      <c r="F50" s="208"/>
      <c r="G50" s="208"/>
      <c r="H50" s="208"/>
      <c r="I50" s="208"/>
      <c r="J50" s="208"/>
      <c r="K50" s="208"/>
      <c r="L50" s="208"/>
      <c r="M50" s="208"/>
      <c r="N50" s="208"/>
      <c r="O50" s="208"/>
      <c r="P50" s="208">
        <v>96.34250479429215</v>
      </c>
      <c r="Q50" s="208"/>
      <c r="R50" s="208">
        <v>0.3300252301121757</v>
      </c>
      <c r="S50" s="208"/>
      <c r="T50" s="208">
        <v>0.014466859402177568</v>
      </c>
      <c r="U50" s="208"/>
      <c r="V50" s="208">
        <v>0.41012823062203285</v>
      </c>
      <c r="W50" s="208"/>
      <c r="X50" s="208"/>
      <c r="Y50" s="208"/>
      <c r="Z50" s="208"/>
      <c r="AA50" s="208"/>
      <c r="AB50" s="208">
        <v>0.35153848339031385</v>
      </c>
      <c r="AC50" s="208"/>
      <c r="AD50" s="208">
        <v>0.0026631703287144995</v>
      </c>
    </row>
    <row r="51" spans="1:30" ht="12.75">
      <c r="A51" s="238" t="s">
        <v>86</v>
      </c>
      <c r="B51" s="208">
        <v>7.276598540121522</v>
      </c>
      <c r="C51" s="208"/>
      <c r="D51" s="208"/>
      <c r="E51" s="208"/>
      <c r="F51" s="208"/>
      <c r="G51" s="208"/>
      <c r="H51" s="208"/>
      <c r="I51" s="208"/>
      <c r="J51" s="208"/>
      <c r="K51" s="208"/>
      <c r="L51" s="208"/>
      <c r="M51" s="208"/>
      <c r="N51" s="208"/>
      <c r="O51" s="208"/>
      <c r="P51" s="208">
        <v>36.1834</v>
      </c>
      <c r="Q51" s="208"/>
      <c r="R51" s="208">
        <v>4.643677783955191</v>
      </c>
      <c r="S51" s="208"/>
      <c r="T51" s="208">
        <v>0.20355847820077547</v>
      </c>
      <c r="U51" s="208"/>
      <c r="V51" s="208">
        <v>5.7707810777528845</v>
      </c>
      <c r="W51" s="208"/>
      <c r="X51" s="208"/>
      <c r="Y51" s="208"/>
      <c r="Z51" s="208"/>
      <c r="AA51" s="208"/>
      <c r="AB51" s="208">
        <v>4.679962703299595</v>
      </c>
      <c r="AC51" s="208"/>
      <c r="AD51" s="208">
        <v>0.03518768949849319</v>
      </c>
    </row>
    <row r="52" spans="1:30" ht="12.75">
      <c r="A52" s="238" t="s">
        <v>87</v>
      </c>
      <c r="B52" s="208">
        <v>9.253216620558547</v>
      </c>
      <c r="C52" s="208"/>
      <c r="D52" s="208"/>
      <c r="E52" s="208"/>
      <c r="F52" s="208"/>
      <c r="G52" s="208"/>
      <c r="H52" s="208"/>
      <c r="I52" s="208"/>
      <c r="J52" s="208"/>
      <c r="K52" s="208"/>
      <c r="L52" s="208"/>
      <c r="M52" s="208"/>
      <c r="N52" s="208"/>
      <c r="O52" s="208"/>
      <c r="P52" s="208">
        <v>83.74055680000001</v>
      </c>
      <c r="Q52" s="208"/>
      <c r="R52" s="208">
        <v>1.5045215005926764</v>
      </c>
      <c r="S52" s="208"/>
      <c r="T52" s="208">
        <v>0.06595162742324061</v>
      </c>
      <c r="U52" s="208"/>
      <c r="V52" s="208">
        <v>1.8696956616351597</v>
      </c>
      <c r="W52" s="208"/>
      <c r="X52" s="208"/>
      <c r="Y52" s="208"/>
      <c r="Z52" s="208"/>
      <c r="AA52" s="208"/>
      <c r="AB52" s="208">
        <v>1.5162775792529035</v>
      </c>
      <c r="AC52" s="208"/>
      <c r="AD52" s="208">
        <v>0.011400583302653412</v>
      </c>
    </row>
    <row r="53" spans="1:30" ht="12.75">
      <c r="A53" s="308" t="s">
        <v>69</v>
      </c>
      <c r="B53" s="309">
        <f>SUM(B50:B52)</f>
        <v>25.553073197960416</v>
      </c>
      <c r="C53" s="309"/>
      <c r="D53" s="309"/>
      <c r="E53" s="309"/>
      <c r="F53" s="309"/>
      <c r="G53" s="309"/>
      <c r="H53" s="309"/>
      <c r="I53" s="309"/>
      <c r="J53" s="309"/>
      <c r="K53" s="309"/>
      <c r="L53" s="309"/>
      <c r="M53" s="309"/>
      <c r="N53" s="309"/>
      <c r="O53" s="309"/>
      <c r="P53" s="310">
        <f>1-(R53/B53)</f>
        <v>0.7464796322355027</v>
      </c>
      <c r="Q53" s="309"/>
      <c r="R53" s="309">
        <f aca="true" t="shared" si="2" ref="R53:AD53">SUM(R50:R52)</f>
        <v>6.478224514660043</v>
      </c>
      <c r="S53" s="309">
        <f t="shared" si="2"/>
        <v>0</v>
      </c>
      <c r="T53" s="309">
        <f t="shared" si="2"/>
        <v>0.28397696502619363</v>
      </c>
      <c r="U53" s="309">
        <f t="shared" si="2"/>
        <v>0</v>
      </c>
      <c r="V53" s="309">
        <f t="shared" si="2"/>
        <v>8.050604970010077</v>
      </c>
      <c r="W53" s="309">
        <f t="shared" si="2"/>
        <v>0</v>
      </c>
      <c r="X53" s="309">
        <f t="shared" si="2"/>
        <v>0</v>
      </c>
      <c r="Y53" s="309">
        <f t="shared" si="2"/>
        <v>0</v>
      </c>
      <c r="Z53" s="309">
        <f t="shared" si="2"/>
        <v>0</v>
      </c>
      <c r="AA53" s="309">
        <f t="shared" si="2"/>
        <v>0</v>
      </c>
      <c r="AB53" s="309">
        <f t="shared" si="2"/>
        <v>6.547778765942812</v>
      </c>
      <c r="AC53" s="309">
        <f t="shared" si="2"/>
        <v>0</v>
      </c>
      <c r="AD53" s="309">
        <f t="shared" si="2"/>
        <v>0.0492514431298611</v>
      </c>
    </row>
    <row r="54" spans="1:30" ht="12.75">
      <c r="A54" s="238"/>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row>
    <row r="55" spans="1:30" ht="12.75">
      <c r="A55" s="238" t="s">
        <v>499</v>
      </c>
      <c r="B55" s="208">
        <v>1.192489154613789</v>
      </c>
      <c r="C55" s="208"/>
      <c r="D55" s="208"/>
      <c r="E55" s="208"/>
      <c r="F55" s="208"/>
      <c r="G55" s="208"/>
      <c r="H55" s="208"/>
      <c r="I55" s="208"/>
      <c r="J55" s="208"/>
      <c r="K55" s="208"/>
      <c r="L55" s="208"/>
      <c r="M55" s="208"/>
      <c r="N55" s="208"/>
      <c r="O55" s="208"/>
      <c r="P55" s="208">
        <v>52.849599999999995</v>
      </c>
      <c r="Q55" s="208"/>
      <c r="R55" s="208">
        <v>0.5622634063570201</v>
      </c>
      <c r="S55" s="208"/>
      <c r="T55" s="208">
        <v>0.02464716301838992</v>
      </c>
      <c r="U55" s="208"/>
      <c r="V55" s="208">
        <v>0.6987347479898449</v>
      </c>
      <c r="W55" s="208"/>
      <c r="X55" s="208"/>
      <c r="Y55" s="208"/>
      <c r="Z55" s="208"/>
      <c r="AA55" s="208"/>
      <c r="AB55" s="208">
        <v>0.480893914793011</v>
      </c>
      <c r="AC55" s="208"/>
      <c r="AD55" s="208">
        <v>0.004110204399940266</v>
      </c>
    </row>
    <row r="56" spans="1:30" ht="12.75">
      <c r="A56" s="238" t="s">
        <v>87</v>
      </c>
      <c r="B56" s="208">
        <v>1.6955479409129872</v>
      </c>
      <c r="C56" s="208"/>
      <c r="D56" s="208"/>
      <c r="E56" s="208"/>
      <c r="F56" s="208"/>
      <c r="G56" s="208"/>
      <c r="H56" s="208"/>
      <c r="I56" s="208"/>
      <c r="J56" s="208"/>
      <c r="K56" s="208"/>
      <c r="L56" s="208"/>
      <c r="M56" s="208"/>
      <c r="N56" s="208"/>
      <c r="O56" s="208"/>
      <c r="P56" s="208">
        <v>34.458800800000006</v>
      </c>
      <c r="Q56" s="208"/>
      <c r="R56" s="208">
        <v>1.1112824534852794</v>
      </c>
      <c r="S56" s="208"/>
      <c r="T56" s="208">
        <v>0.048713751385656076</v>
      </c>
      <c r="U56" s="208"/>
      <c r="V56" s="208">
        <v>1.3810104949076574</v>
      </c>
      <c r="W56" s="208"/>
      <c r="X56" s="208"/>
      <c r="Y56" s="208"/>
      <c r="Z56" s="208"/>
      <c r="AA56" s="208"/>
      <c r="AB56" s="208">
        <v>1.078914449146607</v>
      </c>
      <c r="AC56" s="208"/>
      <c r="AD56" s="208">
        <v>0.008631315593172855</v>
      </c>
    </row>
    <row r="57" spans="1:30" ht="12.75">
      <c r="A57" s="308" t="s">
        <v>500</v>
      </c>
      <c r="B57" s="309">
        <f>SUM(B55:B56)</f>
        <v>2.8880370955267765</v>
      </c>
      <c r="C57" s="309"/>
      <c r="D57" s="309"/>
      <c r="E57" s="309"/>
      <c r="F57" s="309"/>
      <c r="G57" s="309"/>
      <c r="H57" s="309"/>
      <c r="I57" s="309"/>
      <c r="J57" s="309"/>
      <c r="K57" s="309"/>
      <c r="L57" s="309"/>
      <c r="M57" s="309"/>
      <c r="N57" s="309"/>
      <c r="O57" s="309"/>
      <c r="P57" s="310">
        <f>1-(R57/B57)</f>
        <v>0.4205248047421477</v>
      </c>
      <c r="Q57" s="309"/>
      <c r="R57" s="309">
        <f>SUM(R55:R56)</f>
        <v>1.6735458598422994</v>
      </c>
      <c r="S57" s="309"/>
      <c r="T57" s="309">
        <f>SUM(T55:T56)</f>
        <v>0.07336091440404599</v>
      </c>
      <c r="U57" s="309"/>
      <c r="V57" s="309">
        <f>SUM(V55:V56)</f>
        <v>2.079745242897502</v>
      </c>
      <c r="W57" s="309"/>
      <c r="X57" s="309"/>
      <c r="Y57" s="309"/>
      <c r="Z57" s="309"/>
      <c r="AA57" s="309"/>
      <c r="AB57" s="309">
        <f>SUM(AB55:AB56)</f>
        <v>1.5598083639396179</v>
      </c>
      <c r="AC57" s="309"/>
      <c r="AD57" s="309">
        <f>SUM(AD55:AD56)</f>
        <v>0.012741519993113121</v>
      </c>
    </row>
    <row r="58" spans="1:30" ht="12.75">
      <c r="A58" s="238"/>
      <c r="B58" s="208"/>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row>
    <row r="59" spans="1:30" ht="12.75">
      <c r="A59" s="238" t="s">
        <v>501</v>
      </c>
      <c r="B59" s="208">
        <v>0.024635852720121247</v>
      </c>
      <c r="C59" s="208"/>
      <c r="D59" s="208"/>
      <c r="E59" s="208"/>
      <c r="F59" s="208"/>
      <c r="G59" s="208"/>
      <c r="H59" s="208"/>
      <c r="I59" s="208"/>
      <c r="J59" s="208"/>
      <c r="K59" s="208"/>
      <c r="L59" s="208"/>
      <c r="M59" s="208"/>
      <c r="N59" s="208"/>
      <c r="O59" s="208"/>
      <c r="P59" s="208">
        <v>86.23679999999999</v>
      </c>
      <c r="Q59" s="208"/>
      <c r="R59" s="208">
        <v>0.0033906816815757273</v>
      </c>
      <c r="S59" s="208"/>
      <c r="T59" s="208">
        <v>0.0001486326216581141</v>
      </c>
      <c r="U59" s="208"/>
      <c r="V59" s="208">
        <v>0.004213660507696705</v>
      </c>
      <c r="W59" s="208"/>
      <c r="X59" s="208"/>
      <c r="Y59" s="208"/>
      <c r="Z59" s="208"/>
      <c r="AA59" s="208"/>
      <c r="AB59" s="208">
        <v>0.004753873393298847</v>
      </c>
      <c r="AC59" s="208"/>
      <c r="AD59" s="208">
        <v>2.7010644280107086E-05</v>
      </c>
    </row>
    <row r="60" spans="1:30" ht="12.75">
      <c r="A60" s="238" t="s">
        <v>87</v>
      </c>
      <c r="B60" s="208">
        <v>0.3231437988667468</v>
      </c>
      <c r="C60" s="208"/>
      <c r="D60" s="208"/>
      <c r="E60" s="208"/>
      <c r="F60" s="208"/>
      <c r="G60" s="208"/>
      <c r="H60" s="208"/>
      <c r="I60" s="208"/>
      <c r="J60" s="208"/>
      <c r="K60" s="208"/>
      <c r="L60" s="208"/>
      <c r="M60" s="208"/>
      <c r="N60" s="208"/>
      <c r="O60" s="208"/>
      <c r="P60" s="208">
        <v>34.647619047619045</v>
      </c>
      <c r="Q60" s="208"/>
      <c r="R60" s="208">
        <v>0.21118216645939203</v>
      </c>
      <c r="S60" s="208"/>
      <c r="T60" s="208">
        <v>0.009257300447534993</v>
      </c>
      <c r="U60" s="208"/>
      <c r="V60" s="208">
        <v>0.26243983903739326</v>
      </c>
      <c r="W60" s="208"/>
      <c r="X60" s="208"/>
      <c r="Y60" s="208"/>
      <c r="Z60" s="208"/>
      <c r="AA60" s="208"/>
      <c r="AB60" s="208">
        <v>0.2755618309892629</v>
      </c>
      <c r="AC60" s="208"/>
      <c r="AD60" s="208">
        <v>0.001457999105763296</v>
      </c>
    </row>
    <row r="61" spans="1:30" ht="12.75">
      <c r="A61" s="308" t="s">
        <v>502</v>
      </c>
      <c r="B61" s="309">
        <f>SUM(B59:B60)</f>
        <v>0.3477796515868681</v>
      </c>
      <c r="C61" s="309"/>
      <c r="D61" s="309"/>
      <c r="E61" s="309"/>
      <c r="F61" s="309"/>
      <c r="G61" s="309"/>
      <c r="H61" s="309"/>
      <c r="I61" s="309"/>
      <c r="J61" s="309"/>
      <c r="K61" s="309"/>
      <c r="L61" s="309"/>
      <c r="M61" s="309"/>
      <c r="N61" s="309"/>
      <c r="O61" s="309"/>
      <c r="P61" s="310">
        <f>1-(R61/B61)</f>
        <v>0.38302069381603265</v>
      </c>
      <c r="Q61" s="309"/>
      <c r="R61" s="309">
        <f>SUM(R59:R60)</f>
        <v>0.21457284814096775</v>
      </c>
      <c r="S61" s="309"/>
      <c r="T61" s="309">
        <f>SUM(T59:T60)</f>
        <v>0.009405933069193108</v>
      </c>
      <c r="U61" s="309"/>
      <c r="V61" s="309">
        <f>SUM(V59:V60)</f>
        <v>0.26665349954509</v>
      </c>
      <c r="W61" s="309"/>
      <c r="X61" s="309"/>
      <c r="Y61" s="309"/>
      <c r="Z61" s="309"/>
      <c r="AA61" s="309"/>
      <c r="AB61" s="309">
        <f>SUM(AB59:AB60)</f>
        <v>0.28031570438256176</v>
      </c>
      <c r="AC61" s="309"/>
      <c r="AD61" s="309">
        <f>SUM(AD59:AD60)</f>
        <v>0.0014850097500434033</v>
      </c>
    </row>
    <row r="62" spans="1:30" ht="12.75">
      <c r="A62" s="238"/>
      <c r="B62" s="208"/>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row>
    <row r="63" spans="1:30" ht="12.75">
      <c r="A63" s="238" t="s">
        <v>503</v>
      </c>
      <c r="B63" s="272">
        <v>37.432191124455045</v>
      </c>
      <c r="C63" s="208"/>
      <c r="D63" s="208"/>
      <c r="E63" s="208"/>
      <c r="F63" s="208"/>
      <c r="G63" s="208"/>
      <c r="H63" s="208"/>
      <c r="I63" s="208"/>
      <c r="J63" s="208"/>
      <c r="K63" s="208"/>
      <c r="L63" s="208"/>
      <c r="M63" s="208"/>
      <c r="N63" s="208"/>
      <c r="O63" s="208"/>
      <c r="P63" s="208">
        <v>24.60094786546712</v>
      </c>
      <c r="Q63" s="208"/>
      <c r="R63" s="208">
        <v>28.22351730102585</v>
      </c>
      <c r="S63" s="208"/>
      <c r="T63" s="208">
        <v>1.2371952789490783</v>
      </c>
      <c r="U63" s="208"/>
      <c r="V63" s="208">
        <v>35.073867560566896</v>
      </c>
      <c r="W63" s="208"/>
      <c r="X63" s="208"/>
      <c r="Y63" s="208"/>
      <c r="Z63" s="208"/>
      <c r="AA63" s="208"/>
      <c r="AB63" s="208">
        <v>24.551707292396827</v>
      </c>
      <c r="AC63" s="208"/>
      <c r="AD63" s="208">
        <v>0.23382578373711266</v>
      </c>
    </row>
    <row r="64" spans="1:30" ht="12.75">
      <c r="A64" s="238" t="s">
        <v>86</v>
      </c>
      <c r="B64" s="208">
        <v>0.8301834809986582</v>
      </c>
      <c r="C64" s="208"/>
      <c r="D64" s="208"/>
      <c r="E64" s="208"/>
      <c r="F64" s="208"/>
      <c r="G64" s="208"/>
      <c r="H64" s="208"/>
      <c r="I64" s="208"/>
      <c r="J64" s="208"/>
      <c r="K64" s="208"/>
      <c r="L64" s="208"/>
      <c r="M64" s="208"/>
      <c r="N64" s="208"/>
      <c r="O64" s="208"/>
      <c r="P64" s="208">
        <v>51.947199999999995</v>
      </c>
      <c r="Q64" s="208"/>
      <c r="R64" s="208">
        <v>0.3989264077573232</v>
      </c>
      <c r="S64" s="208"/>
      <c r="T64" s="208">
        <v>0.01748718499758129</v>
      </c>
      <c r="U64" s="208"/>
      <c r="V64" s="208">
        <v>0.4957529510889308</v>
      </c>
      <c r="W64" s="208"/>
      <c r="X64" s="208"/>
      <c r="Y64" s="208"/>
      <c r="Z64" s="208"/>
      <c r="AA64" s="208"/>
      <c r="AB64" s="208">
        <v>0.2974517706533585</v>
      </c>
      <c r="AC64" s="208"/>
      <c r="AD64" s="208">
        <v>0.002754183061605171</v>
      </c>
    </row>
    <row r="65" spans="1:30" ht="12.75">
      <c r="A65" s="238" t="s">
        <v>87</v>
      </c>
      <c r="B65" s="272">
        <v>51.51199750683971</v>
      </c>
      <c r="C65" s="208"/>
      <c r="D65" s="208"/>
      <c r="E65" s="208"/>
      <c r="F65" s="208"/>
      <c r="G65" s="208"/>
      <c r="H65" s="208"/>
      <c r="I65" s="208"/>
      <c r="J65" s="208"/>
      <c r="K65" s="208"/>
      <c r="L65" s="208"/>
      <c r="M65" s="208"/>
      <c r="N65" s="208"/>
      <c r="O65" s="208"/>
      <c r="P65" s="208">
        <v>60.52</v>
      </c>
      <c r="Q65" s="208"/>
      <c r="R65" s="208">
        <v>20.336936615700317</v>
      </c>
      <c r="S65" s="208"/>
      <c r="T65" s="208">
        <v>0.8914821530170002</v>
      </c>
      <c r="U65" s="208"/>
      <c r="V65" s="208">
        <v>25.27307329695544</v>
      </c>
      <c r="W65" s="208"/>
      <c r="X65" s="208"/>
      <c r="Y65" s="208"/>
      <c r="Z65" s="208"/>
      <c r="AA65" s="208"/>
      <c r="AB65" s="208">
        <v>19.71855169322897</v>
      </c>
      <c r="AC65" s="208"/>
      <c r="AD65" s="208">
        <v>0.13886304009316178</v>
      </c>
    </row>
    <row r="66" spans="1:30" ht="12.75">
      <c r="A66" s="238" t="s">
        <v>504</v>
      </c>
      <c r="B66" s="272">
        <v>12.17422287886605</v>
      </c>
      <c r="C66" s="208"/>
      <c r="D66" s="208"/>
      <c r="E66" s="208"/>
      <c r="F66" s="208"/>
      <c r="G66" s="208"/>
      <c r="H66" s="208"/>
      <c r="I66" s="208"/>
      <c r="J66" s="208"/>
      <c r="K66" s="208"/>
      <c r="L66" s="208"/>
      <c r="M66" s="208"/>
      <c r="N66" s="208"/>
      <c r="O66" s="208"/>
      <c r="P66" s="208">
        <v>87.3664</v>
      </c>
      <c r="Q66" s="208"/>
      <c r="R66" s="208">
        <v>1.5380426216244218</v>
      </c>
      <c r="S66" s="208"/>
      <c r="T66" s="208">
        <v>0.06742104642737193</v>
      </c>
      <c r="U66" s="208"/>
      <c r="V66" s="208">
        <v>1.9113529556927797</v>
      </c>
      <c r="W66" s="208"/>
      <c r="X66" s="208"/>
      <c r="Y66" s="208"/>
      <c r="Z66" s="208"/>
      <c r="AA66" s="208"/>
      <c r="AB66" s="208">
        <v>6.76937505141193</v>
      </c>
      <c r="AC66" s="208"/>
      <c r="AD66" s="208">
        <v>0.07963970648719916</v>
      </c>
    </row>
    <row r="67" spans="1:30" ht="12.75">
      <c r="A67" s="238" t="s">
        <v>505</v>
      </c>
      <c r="B67" s="208">
        <v>16.313012332654353</v>
      </c>
      <c r="C67" s="208"/>
      <c r="D67" s="208"/>
      <c r="E67" s="208"/>
      <c r="F67" s="208"/>
      <c r="G67" s="208"/>
      <c r="H67" s="208"/>
      <c r="I67" s="208"/>
      <c r="J67" s="208"/>
      <c r="K67" s="208"/>
      <c r="L67" s="208"/>
      <c r="M67" s="208"/>
      <c r="N67" s="208"/>
      <c r="O67" s="208"/>
      <c r="P67" s="208">
        <v>77.44</v>
      </c>
      <c r="Q67" s="208"/>
      <c r="R67" s="208">
        <v>3.6802155822468228</v>
      </c>
      <c r="S67" s="208"/>
      <c r="T67" s="208">
        <v>0.1613245186738333</v>
      </c>
      <c r="U67" s="208"/>
      <c r="V67" s="208">
        <v>4.573469442143837</v>
      </c>
      <c r="W67" s="208"/>
      <c r="X67" s="208"/>
      <c r="Y67" s="208"/>
      <c r="Z67" s="208"/>
      <c r="AA67" s="208"/>
      <c r="AB67" s="208">
        <v>25.488824404187874</v>
      </c>
      <c r="AC67" s="208"/>
      <c r="AD67" s="208">
        <v>0.16132167344422704</v>
      </c>
    </row>
    <row r="68" spans="1:30" ht="12.75">
      <c r="A68" s="308" t="s">
        <v>82</v>
      </c>
      <c r="B68" s="309">
        <f>SUM(B63:B67)</f>
        <v>118.2616073238138</v>
      </c>
      <c r="C68" s="309"/>
      <c r="D68" s="309"/>
      <c r="E68" s="309"/>
      <c r="F68" s="309"/>
      <c r="G68" s="309"/>
      <c r="H68" s="309"/>
      <c r="I68" s="309"/>
      <c r="J68" s="309"/>
      <c r="K68" s="309"/>
      <c r="L68" s="309"/>
      <c r="M68" s="309"/>
      <c r="N68" s="309"/>
      <c r="O68" s="309"/>
      <c r="P68" s="310">
        <f>1-(R68/B68)</f>
        <v>0.5418831203603536</v>
      </c>
      <c r="Q68" s="309"/>
      <c r="R68" s="309">
        <f>SUM(R63:R67)</f>
        <v>54.177638528354734</v>
      </c>
      <c r="S68" s="309">
        <f aca="true" t="shared" si="3" ref="S68:AD68">SUM(S63:S67)</f>
        <v>0</v>
      </c>
      <c r="T68" s="309">
        <f t="shared" si="3"/>
        <v>2.3749101820648653</v>
      </c>
      <c r="U68" s="309">
        <f t="shared" si="3"/>
        <v>0</v>
      </c>
      <c r="V68" s="309">
        <f t="shared" si="3"/>
        <v>67.32751620644788</v>
      </c>
      <c r="W68" s="309">
        <f t="shared" si="3"/>
        <v>0</v>
      </c>
      <c r="X68" s="309">
        <f t="shared" si="3"/>
        <v>0</v>
      </c>
      <c r="Y68" s="309">
        <f t="shared" si="3"/>
        <v>0</v>
      </c>
      <c r="Z68" s="309">
        <f t="shared" si="3"/>
        <v>0</v>
      </c>
      <c r="AA68" s="309">
        <f t="shared" si="3"/>
        <v>0</v>
      </c>
      <c r="AB68" s="309">
        <f t="shared" si="3"/>
        <v>76.82591021187895</v>
      </c>
      <c r="AC68" s="309">
        <f t="shared" si="3"/>
        <v>0</v>
      </c>
      <c r="AD68" s="309">
        <f t="shared" si="3"/>
        <v>0.6164043868233058</v>
      </c>
    </row>
    <row r="69" spans="1:30" ht="12.75">
      <c r="A69" s="238"/>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row>
    <row r="70" spans="1:32" ht="12.75">
      <c r="A70" s="252" t="s">
        <v>506</v>
      </c>
      <c r="B70" s="319">
        <f>B75+B77+B81+B85+B87+B89+B93+B95+B100+B102+B104+B106+B110+B112+B116+B118</f>
        <v>99.89004465367242</v>
      </c>
      <c r="C70" s="319"/>
      <c r="D70" s="319"/>
      <c r="E70" s="319"/>
      <c r="F70" s="319"/>
      <c r="G70" s="319"/>
      <c r="H70" s="319"/>
      <c r="I70" s="319"/>
      <c r="J70" s="319"/>
      <c r="K70" s="319"/>
      <c r="L70" s="319"/>
      <c r="M70" s="319"/>
      <c r="N70" s="319"/>
      <c r="O70" s="319"/>
      <c r="P70" s="320">
        <f>1-(R70/B70)</f>
        <v>0.561703043838554</v>
      </c>
      <c r="Q70" s="319"/>
      <c r="R70" s="319">
        <f>R75+R77+R81+R85+R87+R89+R93+R95+R100+R102+R104+R106+R110+R112+R116+R118</f>
        <v>43.78150252253554</v>
      </c>
      <c r="S70" s="319">
        <f>S134+S75+S135+S77+S81+S85+S87+S89+S93+S95+S100+S102+S104+S106+S110+S112+S116+S118</f>
        <v>0</v>
      </c>
      <c r="T70" s="319">
        <f>T75+T77+T81+T85+T87+T89+T93+T95+T100+T102+T104+T106+T110+T112+T116+T118</f>
        <v>1.9191891516727908</v>
      </c>
      <c r="U70" s="319">
        <f>U134+U75+U135+U77+U81+U85+U87+U89+U93+U95+U100+U102+U104+U106+U110+U112+U116+U118</f>
        <v>0</v>
      </c>
      <c r="V70" s="319">
        <f>V75+V77+V81+V85+V87+V89+V93+V95+V100+V102+V104+V106+V110+V112+V116+V118</f>
        <v>54.40805285534779</v>
      </c>
      <c r="W70" s="319">
        <f>W134+W75+W135+W77+W81+W85+W87+W89+W93+W95+W100+W102+W104+W106+W110+W112+W116+W118</f>
        <v>0</v>
      </c>
      <c r="X70" s="319">
        <f>X134+X75+X135+X77+X81+X85+X87+X89+X93+X95+X100+X102+X104+X106+X110+X112+X116+X118</f>
        <v>0</v>
      </c>
      <c r="Y70" s="319">
        <f>Y134+Y75+Y135+Y77+Y81+Y85+Y87+Y89+Y93+Y95+Y100+Y102+Y104+Y106+Y110+Y112+Y116+Y118</f>
        <v>0</v>
      </c>
      <c r="Z70" s="319">
        <f>Z134+Z75+Z135+Z77+Z81+Z85+Z87+Z89+Z93+Z95+Z100+Z102+Z104+Z106+Z110+Z112+Z116+Z118</f>
        <v>0</v>
      </c>
      <c r="AA70" s="319">
        <f>AA134+AA75+AA135+AA77+AA81+AA85+AA87+AA89+AA93+AA95+AA100+AA102+AA104+AA106+AA110+AA112+AA116+AA118</f>
        <v>0</v>
      </c>
      <c r="AB70" s="319">
        <f>AB75+AB77+AB81+AB85+AB87+AB89+AB93+AB95+AB100+AB102+AB104+AB106+AB110+AB112+AB116+AB118</f>
        <v>16.166591821056596</v>
      </c>
      <c r="AC70" s="319">
        <f>AC134+AC75+AC135+AC77+AC81+AC85+AC87+AC89+AC93+AC95+AC100+AC102+AC104+AC106+AC110+AC112+AC116+AC118</f>
        <v>0</v>
      </c>
      <c r="AD70" s="319">
        <f>AD75+AD77+AD81+AD85+AD87+AD89+AD93+AD95+AD100+AD102+AD104+AD106+AD110+AD112+AD116+AD118</f>
        <v>0.44820096808455784</v>
      </c>
      <c r="AE70" s="319">
        <f>AE134+AE75+AE135+AE77+AE81+AE85+AE87+AE89+AE93+AE95+AE100+AE102+AE104+AE106+AE110+AE112+AE116+AE118</f>
        <v>0</v>
      </c>
      <c r="AF70" s="319">
        <f>B70/AD70</f>
        <v>222.86887304274433</v>
      </c>
    </row>
    <row r="71" spans="1:32" s="27" customFormat="1" ht="12.75">
      <c r="A71" s="318"/>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6"/>
      <c r="AF71" s="6"/>
    </row>
    <row r="72" spans="1:30" ht="12.75">
      <c r="A72" s="238" t="s">
        <v>508</v>
      </c>
      <c r="B72" s="208">
        <v>1.2279863001411768</v>
      </c>
      <c r="C72" s="208"/>
      <c r="D72" s="208"/>
      <c r="E72" s="208"/>
      <c r="F72" s="208"/>
      <c r="G72" s="208"/>
      <c r="H72" s="208"/>
      <c r="I72" s="208"/>
      <c r="J72" s="208"/>
      <c r="K72" s="208"/>
      <c r="L72" s="208"/>
      <c r="M72" s="208"/>
      <c r="N72" s="208"/>
      <c r="O72" s="208"/>
      <c r="P72" s="208">
        <v>71.14740205763317</v>
      </c>
      <c r="Q72" s="208"/>
      <c r="R72" s="208">
        <v>0.3543059499670797</v>
      </c>
      <c r="S72" s="208"/>
      <c r="T72" s="208">
        <v>0.015531219724584317</v>
      </c>
      <c r="U72" s="208"/>
      <c r="V72" s="208">
        <v>0.4403023135821031</v>
      </c>
      <c r="W72" s="208"/>
      <c r="X72" s="208"/>
      <c r="Y72" s="208"/>
      <c r="Z72" s="208"/>
      <c r="AA72" s="208"/>
      <c r="AB72" s="208">
        <v>0.08871763034863271</v>
      </c>
      <c r="AC72" s="208"/>
      <c r="AD72" s="208">
        <v>0.0032858381610604706</v>
      </c>
    </row>
    <row r="73" spans="1:30" ht="12.75">
      <c r="A73" s="238" t="s">
        <v>86</v>
      </c>
      <c r="B73" s="208">
        <v>0.15904785123630344</v>
      </c>
      <c r="C73" s="208"/>
      <c r="D73" s="208"/>
      <c r="E73" s="208"/>
      <c r="F73" s="208"/>
      <c r="G73" s="208"/>
      <c r="H73" s="208"/>
      <c r="I73" s="208"/>
      <c r="J73" s="208"/>
      <c r="K73" s="208"/>
      <c r="L73" s="208"/>
      <c r="M73" s="208"/>
      <c r="N73" s="208"/>
      <c r="O73" s="208"/>
      <c r="P73" s="208">
        <v>24.461599999999994</v>
      </c>
      <c r="Q73" s="208"/>
      <c r="R73" s="208">
        <v>0.12014220205828385</v>
      </c>
      <c r="S73" s="208"/>
      <c r="T73" s="208">
        <v>0.005266507487486416</v>
      </c>
      <c r="U73" s="208"/>
      <c r="V73" s="208">
        <v>0.14930285401649615</v>
      </c>
      <c r="W73" s="208"/>
      <c r="X73" s="208"/>
      <c r="Y73" s="208"/>
      <c r="Z73" s="208"/>
      <c r="AA73" s="208"/>
      <c r="AB73" s="208">
        <v>0.028379881341978608</v>
      </c>
      <c r="AC73" s="208"/>
      <c r="AD73" s="208">
        <v>0.0006169539422169262</v>
      </c>
    </row>
    <row r="74" spans="1:30" ht="12.75">
      <c r="A74" s="238" t="s">
        <v>87</v>
      </c>
      <c r="B74" s="208">
        <v>0.09111647063358108</v>
      </c>
      <c r="C74" s="208"/>
      <c r="D74" s="208"/>
      <c r="E74" s="208"/>
      <c r="F74" s="208"/>
      <c r="G74" s="208"/>
      <c r="H74" s="208"/>
      <c r="I74" s="208"/>
      <c r="J74" s="208"/>
      <c r="K74" s="208"/>
      <c r="L74" s="208"/>
      <c r="M74" s="208"/>
      <c r="N74" s="208"/>
      <c r="O74" s="208"/>
      <c r="P74" s="208">
        <v>63.771065199999995</v>
      </c>
      <c r="Q74" s="208"/>
      <c r="R74" s="208">
        <v>0.03301052673790124</v>
      </c>
      <c r="S74" s="208"/>
      <c r="T74" s="208">
        <v>0.001447036788510739</v>
      </c>
      <c r="U74" s="208"/>
      <c r="V74" s="208">
        <v>0.04102276943588519</v>
      </c>
      <c r="W74" s="208"/>
      <c r="X74" s="208"/>
      <c r="Y74" s="208"/>
      <c r="Z74" s="208"/>
      <c r="AA74" s="208"/>
      <c r="AB74" s="208">
        <v>0.007292936788601811</v>
      </c>
      <c r="AC74" s="208"/>
      <c r="AD74" s="208">
        <v>0.0002279042746438066</v>
      </c>
    </row>
    <row r="75" spans="1:30" ht="12.75">
      <c r="A75" s="250" t="s">
        <v>509</v>
      </c>
      <c r="B75" s="309">
        <f>SUM(B72:B74)</f>
        <v>1.4781506220110612</v>
      </c>
      <c r="C75" s="309"/>
      <c r="D75" s="309"/>
      <c r="E75" s="309"/>
      <c r="F75" s="309"/>
      <c r="G75" s="309"/>
      <c r="H75" s="309"/>
      <c r="I75" s="309"/>
      <c r="J75" s="309"/>
      <c r="K75" s="309"/>
      <c r="L75" s="309"/>
      <c r="M75" s="309"/>
      <c r="N75" s="309"/>
      <c r="O75" s="309"/>
      <c r="P75" s="310">
        <f>1-(R75/B75)</f>
        <v>0.6566935255401412</v>
      </c>
      <c r="Q75" s="309"/>
      <c r="R75" s="309">
        <f aca="true" t="shared" si="4" ref="R75:AD75">SUM(R72:R74)</f>
        <v>0.5074586787632648</v>
      </c>
      <c r="S75" s="309">
        <f t="shared" si="4"/>
        <v>0</v>
      </c>
      <c r="T75" s="309">
        <f t="shared" si="4"/>
        <v>0.02224476400058147</v>
      </c>
      <c r="U75" s="309">
        <f t="shared" si="4"/>
        <v>0</v>
      </c>
      <c r="V75" s="309">
        <f t="shared" si="4"/>
        <v>0.6306279370344845</v>
      </c>
      <c r="W75" s="309">
        <f t="shared" si="4"/>
        <v>0</v>
      </c>
      <c r="X75" s="309">
        <f t="shared" si="4"/>
        <v>0</v>
      </c>
      <c r="Y75" s="309">
        <f t="shared" si="4"/>
        <v>0</v>
      </c>
      <c r="Z75" s="309">
        <f t="shared" si="4"/>
        <v>0</v>
      </c>
      <c r="AA75" s="309">
        <f t="shared" si="4"/>
        <v>0</v>
      </c>
      <c r="AB75" s="309">
        <f t="shared" si="4"/>
        <v>0.12439044847921313</v>
      </c>
      <c r="AC75" s="309">
        <f t="shared" si="4"/>
        <v>0</v>
      </c>
      <c r="AD75" s="309">
        <f t="shared" si="4"/>
        <v>0.0041306963779212036</v>
      </c>
    </row>
    <row r="76" spans="1:30" ht="12.75">
      <c r="A76" s="238"/>
      <c r="B76" s="208"/>
      <c r="C76" s="208"/>
      <c r="D76" s="208"/>
      <c r="E76" s="208"/>
      <c r="F76" s="208"/>
      <c r="G76" s="208"/>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row>
    <row r="77" spans="1:30" ht="12.75">
      <c r="A77" s="238" t="s">
        <v>511</v>
      </c>
      <c r="B77" s="208">
        <v>0.2974123047740745</v>
      </c>
      <c r="C77" s="208"/>
      <c r="D77" s="208"/>
      <c r="E77" s="208"/>
      <c r="F77" s="208"/>
      <c r="G77" s="208"/>
      <c r="H77" s="208"/>
      <c r="I77" s="208"/>
      <c r="J77" s="208"/>
      <c r="K77" s="208"/>
      <c r="L77" s="208"/>
      <c r="M77" s="208"/>
      <c r="N77" s="208"/>
      <c r="O77" s="208"/>
      <c r="P77" s="41">
        <f>0.01*41.6996765460495</f>
        <v>0.416996765460495</v>
      </c>
      <c r="Q77" s="208"/>
      <c r="R77" s="208">
        <v>0.17339233567513443</v>
      </c>
      <c r="S77" s="208"/>
      <c r="T77" s="208">
        <v>0.007600759920005892</v>
      </c>
      <c r="U77" s="208"/>
      <c r="V77" s="208">
        <v>0.21547774335220704</v>
      </c>
      <c r="W77" s="208"/>
      <c r="X77" s="208"/>
      <c r="Y77" s="208"/>
      <c r="Z77" s="208"/>
      <c r="AA77" s="208"/>
      <c r="AB77" s="208">
        <v>0.09304720735663485</v>
      </c>
      <c r="AC77" s="208"/>
      <c r="AD77" s="208">
        <v>0.0024486107199114438</v>
      </c>
    </row>
    <row r="78" spans="1:30" ht="12.75">
      <c r="A78" s="238"/>
      <c r="B78" s="208"/>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row>
    <row r="79" spans="1:30" ht="12.75">
      <c r="A79" s="238" t="s">
        <v>512</v>
      </c>
      <c r="B79" s="208">
        <v>7.693222963423468</v>
      </c>
      <c r="C79" s="208"/>
      <c r="D79" s="208"/>
      <c r="E79" s="208"/>
      <c r="F79" s="208"/>
      <c r="G79" s="208"/>
      <c r="H79" s="208"/>
      <c r="I79" s="208"/>
      <c r="J79" s="208"/>
      <c r="K79" s="208"/>
      <c r="L79" s="208"/>
      <c r="M79" s="208"/>
      <c r="N79" s="208"/>
      <c r="O79" s="208"/>
      <c r="P79" s="208">
        <v>55.25055578797996</v>
      </c>
      <c r="Q79" s="208"/>
      <c r="R79" s="208">
        <v>3.442674518123499</v>
      </c>
      <c r="S79" s="208"/>
      <c r="T79" s="208">
        <v>0.15091175969856435</v>
      </c>
      <c r="U79" s="208"/>
      <c r="V79" s="208">
        <v>4.278272931574451</v>
      </c>
      <c r="W79" s="208"/>
      <c r="X79" s="208"/>
      <c r="Y79" s="208"/>
      <c r="Z79" s="208"/>
      <c r="AA79" s="208"/>
      <c r="AB79" s="208">
        <v>1.0094801299220613</v>
      </c>
      <c r="AC79" s="208"/>
      <c r="AD79" s="208">
        <v>0.04807048237724101</v>
      </c>
    </row>
    <row r="80" spans="1:30" ht="12.75">
      <c r="A80" s="238" t="s">
        <v>86</v>
      </c>
      <c r="B80" s="208">
        <v>0.9618712608664781</v>
      </c>
      <c r="C80" s="208"/>
      <c r="D80" s="208"/>
      <c r="E80" s="208"/>
      <c r="F80" s="208"/>
      <c r="G80" s="208"/>
      <c r="H80" s="208"/>
      <c r="I80" s="208"/>
      <c r="J80" s="208"/>
      <c r="K80" s="208"/>
      <c r="L80" s="208"/>
      <c r="M80" s="208"/>
      <c r="N80" s="208"/>
      <c r="O80" s="208"/>
      <c r="P80" s="208">
        <v>65.2576</v>
      </c>
      <c r="Q80" s="208"/>
      <c r="R80" s="208">
        <v>0.3341771609352752</v>
      </c>
      <c r="S80" s="208"/>
      <c r="T80" s="208">
        <v>0.014648861849217543</v>
      </c>
      <c r="U80" s="208"/>
      <c r="V80" s="208">
        <v>0.41528790899439283</v>
      </c>
      <c r="W80" s="208"/>
      <c r="X80" s="208"/>
      <c r="Y80" s="208"/>
      <c r="Z80" s="208"/>
      <c r="AA80" s="208"/>
      <c r="AB80" s="208">
        <v>0.07896319396372256</v>
      </c>
      <c r="AC80" s="208"/>
      <c r="AD80" s="208">
        <v>0.002924562739397132</v>
      </c>
    </row>
    <row r="81" spans="1:30" ht="12.75">
      <c r="A81" s="250" t="s">
        <v>513</v>
      </c>
      <c r="B81" s="309">
        <f>SUM(B79:B80)</f>
        <v>8.655094224289947</v>
      </c>
      <c r="C81" s="309"/>
      <c r="D81" s="309"/>
      <c r="E81" s="309"/>
      <c r="F81" s="309"/>
      <c r="G81" s="309"/>
      <c r="H81" s="309"/>
      <c r="I81" s="309"/>
      <c r="J81" s="309"/>
      <c r="K81" s="309"/>
      <c r="L81" s="309"/>
      <c r="M81" s="309"/>
      <c r="N81" s="309"/>
      <c r="O81" s="309"/>
      <c r="P81" s="310">
        <f>1-(R81/B81)</f>
        <v>0.5636267403699325</v>
      </c>
      <c r="Q81" s="309"/>
      <c r="R81" s="309">
        <f>SUM(R79:R80)</f>
        <v>3.7768516790587743</v>
      </c>
      <c r="S81" s="309"/>
      <c r="T81" s="309">
        <f>SUM(T79:T80)</f>
        <v>0.1655606215477819</v>
      </c>
      <c r="U81" s="309"/>
      <c r="V81" s="309">
        <f>SUM(V79:V80)</f>
        <v>4.693560840568844</v>
      </c>
      <c r="W81" s="309"/>
      <c r="X81" s="309"/>
      <c r="Y81" s="309"/>
      <c r="Z81" s="309"/>
      <c r="AA81" s="309"/>
      <c r="AB81" s="309">
        <f>SUM(AB79:AB80)</f>
        <v>1.0884433238857838</v>
      </c>
      <c r="AC81" s="309"/>
      <c r="AD81" s="309">
        <f>SUM(AD79:AD80)</f>
        <v>0.05099504511663814</v>
      </c>
    </row>
    <row r="82" spans="1:30" ht="12.75">
      <c r="A82" s="238"/>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row>
    <row r="83" spans="1:30" ht="12.75">
      <c r="A83" s="238" t="s">
        <v>514</v>
      </c>
      <c r="B83" s="208">
        <v>1.6043588923756325</v>
      </c>
      <c r="C83" s="208"/>
      <c r="D83" s="208"/>
      <c r="E83" s="208"/>
      <c r="F83" s="208"/>
      <c r="G83" s="208"/>
      <c r="H83" s="208"/>
      <c r="I83" s="208"/>
      <c r="J83" s="208"/>
      <c r="K83" s="208"/>
      <c r="L83" s="208"/>
      <c r="M83" s="208"/>
      <c r="N83" s="208"/>
      <c r="O83" s="208"/>
      <c r="P83" s="208">
        <v>76.26609487399328</v>
      </c>
      <c r="Q83" s="208"/>
      <c r="R83" s="208">
        <v>0.3807770173970848</v>
      </c>
      <c r="S83" s="208"/>
      <c r="T83" s="208">
        <v>0.01669159528315988</v>
      </c>
      <c r="U83" s="208"/>
      <c r="V83" s="208">
        <v>0.473198380479941</v>
      </c>
      <c r="W83" s="208"/>
      <c r="X83" s="208"/>
      <c r="Y83" s="208"/>
      <c r="Z83" s="208"/>
      <c r="AA83" s="208"/>
      <c r="AB83" s="208">
        <v>0.11829959511998525</v>
      </c>
      <c r="AC83" s="208"/>
      <c r="AD83" s="208">
        <v>0.00473198380479941</v>
      </c>
    </row>
    <row r="84" spans="1:30" ht="12.75">
      <c r="A84" s="238" t="s">
        <v>87</v>
      </c>
      <c r="B84" s="208">
        <v>0.3782968867511685</v>
      </c>
      <c r="C84" s="208"/>
      <c r="D84" s="208"/>
      <c r="E84" s="208"/>
      <c r="F84" s="208"/>
      <c r="G84" s="208"/>
      <c r="H84" s="208"/>
      <c r="I84" s="208"/>
      <c r="J84" s="208"/>
      <c r="K84" s="208"/>
      <c r="L84" s="208"/>
      <c r="M84" s="208"/>
      <c r="N84" s="208"/>
      <c r="O84" s="208"/>
      <c r="P84" s="208">
        <v>52.0119754</v>
      </c>
      <c r="Q84" s="208"/>
      <c r="R84" s="208">
        <v>0.1815372030751849</v>
      </c>
      <c r="S84" s="208"/>
      <c r="T84" s="208">
        <v>0.007957795203295776</v>
      </c>
      <c r="U84" s="208"/>
      <c r="V84" s="208">
        <v>0.2255995151158336</v>
      </c>
      <c r="W84" s="208"/>
      <c r="X84" s="208"/>
      <c r="Y84" s="208"/>
      <c r="Z84" s="208"/>
      <c r="AA84" s="208"/>
      <c r="AB84" s="208">
        <v>0.0426132417441019</v>
      </c>
      <c r="AC84" s="208"/>
      <c r="AD84" s="208">
        <v>0.0012533306395324088</v>
      </c>
    </row>
    <row r="85" spans="1:30" ht="12.75">
      <c r="A85" s="250" t="s">
        <v>515</v>
      </c>
      <c r="B85" s="309">
        <f>SUM(B83:B84)</f>
        <v>1.982655779126801</v>
      </c>
      <c r="C85" s="309"/>
      <c r="D85" s="309"/>
      <c r="E85" s="309"/>
      <c r="F85" s="309"/>
      <c r="G85" s="309"/>
      <c r="H85" s="309"/>
      <c r="I85" s="309"/>
      <c r="J85" s="309"/>
      <c r="K85" s="309"/>
      <c r="L85" s="309"/>
      <c r="M85" s="309"/>
      <c r="N85" s="309"/>
      <c r="O85" s="309"/>
      <c r="P85" s="310">
        <f>1-(R85/B85)</f>
        <v>0.7163833347209048</v>
      </c>
      <c r="Q85" s="309"/>
      <c r="R85" s="309">
        <f>SUM(R83:R84)</f>
        <v>0.5623142204722698</v>
      </c>
      <c r="S85" s="309"/>
      <c r="T85" s="309">
        <f>SUM(T83:T84)</f>
        <v>0.024649390486455657</v>
      </c>
      <c r="U85" s="309"/>
      <c r="V85" s="309">
        <f>SUM(V83:V84)</f>
        <v>0.6987978955957745</v>
      </c>
      <c r="W85" s="309"/>
      <c r="X85" s="309"/>
      <c r="Y85" s="309"/>
      <c r="Z85" s="309"/>
      <c r="AA85" s="309"/>
      <c r="AB85" s="309">
        <f>SUM(AB83:AB84)</f>
        <v>0.16091283686408714</v>
      </c>
      <c r="AC85" s="309"/>
      <c r="AD85" s="309">
        <f>SUM(AD83:AD84)</f>
        <v>0.005985314444331818</v>
      </c>
    </row>
    <row r="86" spans="1:30" ht="12.75">
      <c r="A86" s="238"/>
      <c r="B86" s="208"/>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row>
    <row r="87" spans="1:30" ht="12.75">
      <c r="A87" s="238" t="s">
        <v>516</v>
      </c>
      <c r="B87" s="208">
        <v>6.203137260297697</v>
      </c>
      <c r="C87" s="208"/>
      <c r="D87" s="208"/>
      <c r="E87" s="208"/>
      <c r="F87" s="208"/>
      <c r="G87" s="208"/>
      <c r="H87" s="208"/>
      <c r="I87" s="208"/>
      <c r="J87" s="208"/>
      <c r="K87" s="208"/>
      <c r="L87" s="208"/>
      <c r="M87" s="208"/>
      <c r="N87" s="208"/>
      <c r="O87" s="208"/>
      <c r="P87" s="41">
        <f>0.01*55.8729060552634</f>
        <v>0.558729060552634</v>
      </c>
      <c r="Q87" s="208"/>
      <c r="R87" s="208">
        <v>2.737264206372527</v>
      </c>
      <c r="S87" s="208"/>
      <c r="T87" s="208">
        <v>0.1199896638409875</v>
      </c>
      <c r="U87" s="208"/>
      <c r="V87" s="208">
        <v>3.401646975060075</v>
      </c>
      <c r="W87" s="208"/>
      <c r="X87" s="208"/>
      <c r="Y87" s="208"/>
      <c r="Z87" s="208"/>
      <c r="AA87" s="208"/>
      <c r="AB87" s="208">
        <v>0.471515422285555</v>
      </c>
      <c r="AC87" s="208"/>
      <c r="AD87" s="208">
        <v>0.03367967302039678</v>
      </c>
    </row>
    <row r="88" spans="1:30" ht="12.75">
      <c r="A88" s="238"/>
      <c r="B88" s="208"/>
      <c r="C88" s="208"/>
      <c r="D88" s="208"/>
      <c r="E88" s="208"/>
      <c r="F88" s="208"/>
      <c r="G88" s="208"/>
      <c r="H88" s="208"/>
      <c r="I88" s="208"/>
      <c r="J88" s="208"/>
      <c r="K88" s="208"/>
      <c r="L88" s="208"/>
      <c r="M88" s="208"/>
      <c r="N88" s="208"/>
      <c r="O88" s="208"/>
      <c r="P88" s="41"/>
      <c r="Q88" s="208"/>
      <c r="R88" s="208"/>
      <c r="S88" s="208"/>
      <c r="T88" s="208"/>
      <c r="U88" s="208"/>
      <c r="V88" s="208"/>
      <c r="W88" s="208"/>
      <c r="X88" s="208"/>
      <c r="Y88" s="208"/>
      <c r="Z88" s="208"/>
      <c r="AA88" s="208"/>
      <c r="AB88" s="208"/>
      <c r="AC88" s="208"/>
      <c r="AD88" s="208"/>
    </row>
    <row r="89" spans="1:30" ht="12.75">
      <c r="A89" s="238" t="s">
        <v>565</v>
      </c>
      <c r="B89" s="208">
        <v>6.30675018191257</v>
      </c>
      <c r="C89" s="208"/>
      <c r="D89" s="208"/>
      <c r="E89" s="208"/>
      <c r="F89" s="208"/>
      <c r="G89" s="208"/>
      <c r="H89" s="208"/>
      <c r="I89" s="208"/>
      <c r="J89" s="208"/>
      <c r="K89" s="208"/>
      <c r="L89" s="208"/>
      <c r="M89" s="208"/>
      <c r="N89" s="208"/>
      <c r="O89" s="208"/>
      <c r="P89" s="41">
        <f>0.01*34.1248</f>
        <v>0.341248</v>
      </c>
      <c r="Q89" s="208"/>
      <c r="R89" s="208">
        <v>4.154584295835269</v>
      </c>
      <c r="S89" s="208"/>
      <c r="T89" s="208">
        <v>0.1821187636530529</v>
      </c>
      <c r="U89" s="208"/>
      <c r="V89" s="208">
        <v>5.162975890182223</v>
      </c>
      <c r="W89" s="208"/>
      <c r="X89" s="208"/>
      <c r="Y89" s="208"/>
      <c r="Z89" s="208"/>
      <c r="AA89" s="208"/>
      <c r="AB89" s="208">
        <v>1.100928682465327</v>
      </c>
      <c r="AC89" s="208"/>
      <c r="AD89" s="208">
        <v>0.037963058016045756</v>
      </c>
    </row>
    <row r="90" spans="1:30" ht="12.75">
      <c r="A90" s="238"/>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row>
    <row r="91" spans="1:30" ht="12.75">
      <c r="A91" s="238" t="s">
        <v>517</v>
      </c>
      <c r="B91" s="208">
        <v>6.505660734902352</v>
      </c>
      <c r="C91" s="208"/>
      <c r="D91" s="208"/>
      <c r="E91" s="208"/>
      <c r="F91" s="208"/>
      <c r="G91" s="208"/>
      <c r="H91" s="208"/>
      <c r="I91" s="208"/>
      <c r="J91" s="208"/>
      <c r="K91" s="208"/>
      <c r="L91" s="208"/>
      <c r="M91" s="208"/>
      <c r="N91" s="208"/>
      <c r="O91" s="208"/>
      <c r="P91" s="208">
        <v>64.59228118023466</v>
      </c>
      <c r="Q91" s="208"/>
      <c r="R91" s="208">
        <v>2.303506060382103</v>
      </c>
      <c r="S91" s="208"/>
      <c r="T91" s="208">
        <v>0.10097560812633877</v>
      </c>
      <c r="U91" s="208"/>
      <c r="V91" s="208">
        <v>2.8626080025776406</v>
      </c>
      <c r="W91" s="208"/>
      <c r="X91" s="208"/>
      <c r="Y91" s="208"/>
      <c r="Z91" s="208"/>
      <c r="AA91" s="208"/>
      <c r="AB91" s="208">
        <v>0.33677741206795775</v>
      </c>
      <c r="AC91" s="208"/>
      <c r="AD91" s="208">
        <v>0.024055529433425548</v>
      </c>
    </row>
    <row r="92" spans="1:30" ht="12.75">
      <c r="A92" s="238" t="s">
        <v>86</v>
      </c>
      <c r="B92" s="208">
        <v>3.809112888948147</v>
      </c>
      <c r="C92" s="208"/>
      <c r="D92" s="208"/>
      <c r="E92" s="208"/>
      <c r="F92" s="208"/>
      <c r="G92" s="208"/>
      <c r="H92" s="208"/>
      <c r="I92" s="208"/>
      <c r="J92" s="208"/>
      <c r="K92" s="208"/>
      <c r="L92" s="208"/>
      <c r="M92" s="208"/>
      <c r="N92" s="208"/>
      <c r="O92" s="208"/>
      <c r="P92" s="208">
        <v>63.528</v>
      </c>
      <c r="Q92" s="208"/>
      <c r="R92" s="208">
        <v>1.3892596528571681</v>
      </c>
      <c r="S92" s="208"/>
      <c r="T92" s="208">
        <v>0.06089905327593066</v>
      </c>
      <c r="U92" s="208"/>
      <c r="V92" s="208">
        <v>1.7264577108459964</v>
      </c>
      <c r="W92" s="208"/>
      <c r="X92" s="208"/>
      <c r="Y92" s="208"/>
      <c r="Z92" s="208"/>
      <c r="AA92" s="208"/>
      <c r="AB92" s="208">
        <v>2.019432352686529</v>
      </c>
      <c r="AC92" s="208"/>
      <c r="AD92" s="208">
        <v>0.01046338006573331</v>
      </c>
    </row>
    <row r="93" spans="1:30" ht="12.75">
      <c r="A93" s="250" t="s">
        <v>518</v>
      </c>
      <c r="B93" s="309">
        <f>SUM(B91:B92)</f>
        <v>10.314773623850499</v>
      </c>
      <c r="C93" s="309"/>
      <c r="D93" s="309"/>
      <c r="E93" s="309"/>
      <c r="F93" s="309"/>
      <c r="G93" s="309"/>
      <c r="H93" s="309"/>
      <c r="I93" s="309"/>
      <c r="J93" s="309"/>
      <c r="K93" s="309"/>
      <c r="L93" s="309"/>
      <c r="M93" s="309"/>
      <c r="N93" s="309"/>
      <c r="O93" s="309"/>
      <c r="P93" s="310">
        <f>1-(R93/B93)</f>
        <v>0.6419925586441747</v>
      </c>
      <c r="Q93" s="309"/>
      <c r="R93" s="309">
        <f>SUM(R91:R92)</f>
        <v>3.692765713239271</v>
      </c>
      <c r="S93" s="309"/>
      <c r="T93" s="309">
        <f>SUM(T91:T92)</f>
        <v>0.16187466140226942</v>
      </c>
      <c r="U93" s="309"/>
      <c r="V93" s="309">
        <f>SUM(V91:V92)</f>
        <v>4.589065713423637</v>
      </c>
      <c r="W93" s="309"/>
      <c r="X93" s="309"/>
      <c r="Y93" s="309"/>
      <c r="Z93" s="309"/>
      <c r="AA93" s="309"/>
      <c r="AB93" s="309">
        <f>SUM(AB91:AB92)</f>
        <v>2.3562097647544866</v>
      </c>
      <c r="AC93" s="309"/>
      <c r="AD93" s="309">
        <f>SUM(AD91:AD92)</f>
        <v>0.03451890949915886</v>
      </c>
    </row>
    <row r="94" spans="1:30" ht="12.75">
      <c r="A94" s="238"/>
      <c r="B94" s="208"/>
      <c r="C94" s="208"/>
      <c r="D94" s="208"/>
      <c r="E94" s="208"/>
      <c r="F94" s="208"/>
      <c r="G94" s="208"/>
      <c r="H94" s="208"/>
      <c r="I94" s="208"/>
      <c r="J94" s="208"/>
      <c r="K94" s="208"/>
      <c r="L94" s="208"/>
      <c r="M94" s="208"/>
      <c r="N94" s="208"/>
      <c r="O94" s="208"/>
      <c r="P94" s="41"/>
      <c r="Q94" s="208"/>
      <c r="R94" s="208"/>
      <c r="S94" s="208"/>
      <c r="T94" s="208"/>
      <c r="U94" s="208"/>
      <c r="V94" s="208"/>
      <c r="W94" s="208"/>
      <c r="X94" s="208"/>
      <c r="Y94" s="208"/>
      <c r="Z94" s="208"/>
      <c r="AA94" s="208"/>
      <c r="AB94" s="208"/>
      <c r="AC94" s="208"/>
      <c r="AD94" s="208"/>
    </row>
    <row r="95" spans="1:30" ht="12.75">
      <c r="A95" s="238" t="s">
        <v>519</v>
      </c>
      <c r="B95" s="208">
        <v>0.8468956854203021</v>
      </c>
      <c r="C95" s="208"/>
      <c r="D95" s="208"/>
      <c r="E95" s="208"/>
      <c r="F95" s="208"/>
      <c r="G95" s="208"/>
      <c r="H95" s="208"/>
      <c r="I95" s="208"/>
      <c r="J95" s="208"/>
      <c r="K95" s="208"/>
      <c r="L95" s="208"/>
      <c r="M95" s="208"/>
      <c r="N95" s="208"/>
      <c r="O95" s="208"/>
      <c r="P95" s="41">
        <f>0.01*61.0571720481396</f>
        <v>0.610571720481396</v>
      </c>
      <c r="Q95" s="208"/>
      <c r="R95" s="208">
        <v>0.32980512970495696</v>
      </c>
      <c r="S95" s="208"/>
      <c r="T95" s="208">
        <v>0.014457211165148798</v>
      </c>
      <c r="U95" s="208"/>
      <c r="V95" s="208">
        <v>0.40985470792638584</v>
      </c>
      <c r="W95" s="208"/>
      <c r="X95" s="208"/>
      <c r="Y95" s="208"/>
      <c r="Z95" s="208"/>
      <c r="AA95" s="208"/>
      <c r="AB95" s="208">
        <v>0.0999645629088746</v>
      </c>
      <c r="AC95" s="208"/>
      <c r="AD95" s="208">
        <v>0.0049982281454437295</v>
      </c>
    </row>
    <row r="96" spans="1:30" ht="12.75">
      <c r="A96" s="238"/>
      <c r="B96" s="20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row>
    <row r="97" spans="1:30" ht="12.75">
      <c r="A97" s="238" t="s">
        <v>520</v>
      </c>
      <c r="B97" s="208">
        <v>1.9766520625907127</v>
      </c>
      <c r="C97" s="208"/>
      <c r="D97" s="208"/>
      <c r="E97" s="208"/>
      <c r="F97" s="208"/>
      <c r="G97" s="208"/>
      <c r="H97" s="208"/>
      <c r="I97" s="208"/>
      <c r="J97" s="208"/>
      <c r="K97" s="208"/>
      <c r="L97" s="208"/>
      <c r="M97" s="208"/>
      <c r="N97" s="208"/>
      <c r="O97" s="208"/>
      <c r="P97" s="208">
        <v>51.00709476676812</v>
      </c>
      <c r="Q97" s="208"/>
      <c r="R97" s="208">
        <v>0.9684192718157911</v>
      </c>
      <c r="S97" s="208"/>
      <c r="T97" s="208">
        <v>0.042451255750829205</v>
      </c>
      <c r="U97" s="208"/>
      <c r="V97" s="208">
        <v>1.2034718749081326</v>
      </c>
      <c r="W97" s="208"/>
      <c r="X97" s="208"/>
      <c r="Y97" s="208"/>
      <c r="Z97" s="208"/>
      <c r="AA97" s="208"/>
      <c r="AB97" s="208">
        <v>0.37198221588069547</v>
      </c>
      <c r="AC97" s="208"/>
      <c r="AD97" s="208">
        <v>0.010940653408255752</v>
      </c>
    </row>
    <row r="98" spans="1:30" ht="12.75">
      <c r="A98" s="238" t="s">
        <v>86</v>
      </c>
      <c r="B98" s="208">
        <v>3.614316320759049</v>
      </c>
      <c r="C98" s="208"/>
      <c r="D98" s="208"/>
      <c r="E98" s="208"/>
      <c r="F98" s="208"/>
      <c r="G98" s="208"/>
      <c r="H98" s="208"/>
      <c r="I98" s="208"/>
      <c r="J98" s="208"/>
      <c r="K98" s="208"/>
      <c r="L98" s="208"/>
      <c r="M98" s="208"/>
      <c r="N98" s="208"/>
      <c r="O98" s="208"/>
      <c r="P98" s="208">
        <v>57.13599999999999</v>
      </c>
      <c r="Q98" s="208"/>
      <c r="R98" s="208">
        <v>1.549240547730159</v>
      </c>
      <c r="S98" s="208"/>
      <c r="T98" s="208">
        <v>0.06791191442104806</v>
      </c>
      <c r="U98" s="208"/>
      <c r="V98" s="208">
        <v>1.9252688178795019</v>
      </c>
      <c r="W98" s="208"/>
      <c r="X98" s="208"/>
      <c r="Y98" s="208"/>
      <c r="Z98" s="208"/>
      <c r="AA98" s="208"/>
      <c r="AB98" s="208">
        <v>0.38505376357590043</v>
      </c>
      <c r="AC98" s="208"/>
      <c r="AD98" s="208">
        <v>0.014261250502811126</v>
      </c>
    </row>
    <row r="99" spans="1:30" ht="12.75">
      <c r="A99" s="238" t="s">
        <v>87</v>
      </c>
      <c r="B99" s="208">
        <v>1.9954674794784129</v>
      </c>
      <c r="C99" s="208"/>
      <c r="D99" s="208"/>
      <c r="E99" s="208"/>
      <c r="F99" s="208"/>
      <c r="G99" s="208"/>
      <c r="H99" s="208"/>
      <c r="I99" s="208"/>
      <c r="J99" s="208"/>
      <c r="K99" s="208"/>
      <c r="L99" s="208"/>
      <c r="M99" s="208"/>
      <c r="N99" s="208"/>
      <c r="O99" s="208"/>
      <c r="P99" s="208">
        <v>39.4574576</v>
      </c>
      <c r="Q99" s="208"/>
      <c r="R99" s="208">
        <v>1.2081067448414293</v>
      </c>
      <c r="S99" s="208"/>
      <c r="T99" s="208">
        <v>0.052958103883459916</v>
      </c>
      <c r="U99" s="208"/>
      <c r="V99" s="208">
        <v>1.5013357660441469</v>
      </c>
      <c r="W99" s="208"/>
      <c r="X99" s="208"/>
      <c r="Y99" s="208"/>
      <c r="Z99" s="208"/>
      <c r="AA99" s="208"/>
      <c r="AB99" s="208">
        <v>0.42259821562724137</v>
      </c>
      <c r="AC99" s="208"/>
      <c r="AD99" s="208">
        <v>0.011121005674401089</v>
      </c>
    </row>
    <row r="100" spans="1:30" ht="12.75">
      <c r="A100" s="250" t="s">
        <v>521</v>
      </c>
      <c r="B100" s="309">
        <f>SUM(B97:B99)</f>
        <v>7.586435862828175</v>
      </c>
      <c r="C100" s="309"/>
      <c r="D100" s="309"/>
      <c r="E100" s="309"/>
      <c r="F100" s="309"/>
      <c r="G100" s="309"/>
      <c r="H100" s="309"/>
      <c r="I100" s="309"/>
      <c r="J100" s="309"/>
      <c r="K100" s="309"/>
      <c r="L100" s="309"/>
      <c r="M100" s="309"/>
      <c r="N100" s="309"/>
      <c r="O100" s="309"/>
      <c r="P100" s="310">
        <f>1-(R100/B100)</f>
        <v>0.508891048213721</v>
      </c>
      <c r="Q100" s="309"/>
      <c r="R100" s="309">
        <f aca="true" t="shared" si="5" ref="R100:AD100">SUM(R97:R99)</f>
        <v>3.7257665643873796</v>
      </c>
      <c r="S100" s="309">
        <f t="shared" si="5"/>
        <v>0</v>
      </c>
      <c r="T100" s="309">
        <f t="shared" si="5"/>
        <v>0.1633212740553372</v>
      </c>
      <c r="U100" s="309">
        <f t="shared" si="5"/>
        <v>0</v>
      </c>
      <c r="V100" s="309">
        <f t="shared" si="5"/>
        <v>4.630076458831781</v>
      </c>
      <c r="W100" s="309">
        <f t="shared" si="5"/>
        <v>0</v>
      </c>
      <c r="X100" s="309">
        <f t="shared" si="5"/>
        <v>0</v>
      </c>
      <c r="Y100" s="309">
        <f t="shared" si="5"/>
        <v>0</v>
      </c>
      <c r="Z100" s="309">
        <f t="shared" si="5"/>
        <v>0</v>
      </c>
      <c r="AA100" s="309">
        <f t="shared" si="5"/>
        <v>0</v>
      </c>
      <c r="AB100" s="309">
        <f t="shared" si="5"/>
        <v>1.1796341950838374</v>
      </c>
      <c r="AC100" s="309">
        <f t="shared" si="5"/>
        <v>0</v>
      </c>
      <c r="AD100" s="309">
        <f t="shared" si="5"/>
        <v>0.036322909585467966</v>
      </c>
    </row>
    <row r="101" spans="1:30" ht="12.75">
      <c r="A101" s="238"/>
      <c r="B101" s="208"/>
      <c r="C101" s="208"/>
      <c r="D101" s="208"/>
      <c r="E101" s="208"/>
      <c r="F101" s="208"/>
      <c r="G101" s="208"/>
      <c r="H101" s="208"/>
      <c r="I101" s="208"/>
      <c r="J101" s="208"/>
      <c r="K101" s="208"/>
      <c r="L101" s="208"/>
      <c r="M101" s="208"/>
      <c r="N101" s="208"/>
      <c r="O101" s="208"/>
      <c r="P101" s="41"/>
      <c r="Q101" s="208"/>
      <c r="R101" s="208"/>
      <c r="S101" s="208"/>
      <c r="T101" s="208"/>
      <c r="U101" s="208"/>
      <c r="V101" s="208"/>
      <c r="W101" s="208"/>
      <c r="X101" s="208"/>
      <c r="Y101" s="208"/>
      <c r="Z101" s="208"/>
      <c r="AA101" s="208"/>
      <c r="AB101" s="208"/>
      <c r="AC101" s="208"/>
      <c r="AD101" s="208"/>
    </row>
    <row r="102" spans="1:30" ht="12.75">
      <c r="A102" s="238" t="s">
        <v>522</v>
      </c>
      <c r="B102" s="208">
        <v>17.50344752819374</v>
      </c>
      <c r="C102" s="208"/>
      <c r="D102" s="208"/>
      <c r="E102" s="208"/>
      <c r="F102" s="208"/>
      <c r="G102" s="208"/>
      <c r="H102" s="208"/>
      <c r="I102" s="208"/>
      <c r="J102" s="208"/>
      <c r="K102" s="208"/>
      <c r="L102" s="208"/>
      <c r="M102" s="208"/>
      <c r="N102" s="208"/>
      <c r="O102" s="208"/>
      <c r="P102" s="41">
        <f>0.01*49.0692219130045</f>
        <v>0.49069221913004496</v>
      </c>
      <c r="Q102" s="208"/>
      <c r="R102" s="208">
        <v>8.914642018158048</v>
      </c>
      <c r="S102" s="208"/>
      <c r="T102" s="208">
        <v>0.3907788281932295</v>
      </c>
      <c r="U102" s="208"/>
      <c r="V102" s="208">
        <v>11.07838438986396</v>
      </c>
      <c r="W102" s="208"/>
      <c r="X102" s="208"/>
      <c r="Y102" s="208"/>
      <c r="Z102" s="208"/>
      <c r="AA102" s="208"/>
      <c r="AB102" s="208">
        <v>1.4099761950735947</v>
      </c>
      <c r="AC102" s="208"/>
      <c r="AD102" s="208">
        <v>0.10071258536239965</v>
      </c>
    </row>
    <row r="103" spans="1:30" ht="12.75">
      <c r="A103" s="238"/>
      <c r="B103" s="208"/>
      <c r="C103" s="208"/>
      <c r="D103" s="208"/>
      <c r="E103" s="208"/>
      <c r="F103" s="208"/>
      <c r="G103" s="208"/>
      <c r="H103" s="208"/>
      <c r="I103" s="208"/>
      <c r="J103" s="208"/>
      <c r="K103" s="208"/>
      <c r="L103" s="208"/>
      <c r="M103" s="208"/>
      <c r="N103" s="208"/>
      <c r="O103" s="208"/>
      <c r="P103" s="41"/>
      <c r="Q103" s="208"/>
      <c r="R103" s="208"/>
      <c r="S103" s="208"/>
      <c r="T103" s="208"/>
      <c r="U103" s="208"/>
      <c r="V103" s="208"/>
      <c r="W103" s="208"/>
      <c r="X103" s="208"/>
      <c r="Y103" s="208"/>
      <c r="Z103" s="208"/>
      <c r="AA103" s="208"/>
      <c r="AB103" s="208"/>
      <c r="AC103" s="208"/>
      <c r="AD103" s="208"/>
    </row>
    <row r="104" spans="1:30" ht="12.75">
      <c r="A104" s="238" t="s">
        <v>166</v>
      </c>
      <c r="B104" s="208">
        <v>2.592862188559457</v>
      </c>
      <c r="C104" s="208"/>
      <c r="D104" s="208"/>
      <c r="E104" s="208"/>
      <c r="F104" s="208"/>
      <c r="G104" s="208"/>
      <c r="H104" s="208"/>
      <c r="I104" s="208"/>
      <c r="J104" s="208"/>
      <c r="K104" s="208"/>
      <c r="L104" s="208"/>
      <c r="M104" s="208"/>
      <c r="N104" s="208"/>
      <c r="O104" s="208"/>
      <c r="P104" s="41">
        <f>0.01*67.0054090855928</f>
        <v>0.670054090855928</v>
      </c>
      <c r="Q104" s="208"/>
      <c r="R104" s="208">
        <v>0.8555042720895372</v>
      </c>
      <c r="S104" s="208"/>
      <c r="T104" s="208">
        <v>0.03750155713269204</v>
      </c>
      <c r="U104" s="208"/>
      <c r="V104" s="208">
        <v>1.063150393933253</v>
      </c>
      <c r="W104" s="208"/>
      <c r="X104" s="208"/>
      <c r="Y104" s="208"/>
      <c r="Z104" s="208"/>
      <c r="AA104" s="208"/>
      <c r="AB104" s="208">
        <v>1.5869083085915467</v>
      </c>
      <c r="AC104" s="208"/>
      <c r="AD104" s="208">
        <v>0.007817282308332743</v>
      </c>
    </row>
    <row r="105" spans="1:30" ht="12.75">
      <c r="A105" s="238"/>
      <c r="B105" s="208"/>
      <c r="C105" s="208"/>
      <c r="D105" s="208"/>
      <c r="E105" s="208"/>
      <c r="F105" s="208"/>
      <c r="G105" s="208"/>
      <c r="H105" s="208"/>
      <c r="I105" s="208"/>
      <c r="J105" s="208"/>
      <c r="K105" s="208"/>
      <c r="L105" s="208"/>
      <c r="M105" s="208"/>
      <c r="N105" s="208"/>
      <c r="O105" s="208"/>
      <c r="P105" s="41"/>
      <c r="Q105" s="208"/>
      <c r="R105" s="208"/>
      <c r="S105" s="208"/>
      <c r="T105" s="208"/>
      <c r="U105" s="208"/>
      <c r="V105" s="208"/>
      <c r="W105" s="208"/>
      <c r="X105" s="208"/>
      <c r="Y105" s="208"/>
      <c r="Z105" s="208"/>
      <c r="AA105" s="208"/>
      <c r="AB105" s="208"/>
      <c r="AC105" s="208"/>
      <c r="AD105" s="208"/>
    </row>
    <row r="106" spans="1:30" ht="12.75">
      <c r="A106" s="238" t="s">
        <v>523</v>
      </c>
      <c r="B106" s="208">
        <v>9.628952210545183</v>
      </c>
      <c r="C106" s="208"/>
      <c r="D106" s="208"/>
      <c r="E106" s="208"/>
      <c r="F106" s="208"/>
      <c r="G106" s="208"/>
      <c r="H106" s="208"/>
      <c r="I106" s="208"/>
      <c r="J106" s="208"/>
      <c r="K106" s="208"/>
      <c r="L106" s="208"/>
      <c r="M106" s="208"/>
      <c r="N106" s="208"/>
      <c r="O106" s="208"/>
      <c r="P106" s="41">
        <f>0.01*63.5136304916181</f>
        <v>0.635136304916181</v>
      </c>
      <c r="Q106" s="208"/>
      <c r="R106" s="208">
        <v>3.5132550833250256</v>
      </c>
      <c r="S106" s="208"/>
      <c r="T106" s="208">
        <v>0.15400570228274085</v>
      </c>
      <c r="U106" s="208"/>
      <c r="V106" s="208">
        <v>4.365984656864562</v>
      </c>
      <c r="W106" s="208"/>
      <c r="X106" s="208"/>
      <c r="Y106" s="208"/>
      <c r="Z106" s="208"/>
      <c r="AA106" s="208"/>
      <c r="AB106" s="208">
        <v>0.8790573134626636</v>
      </c>
      <c r="AC106" s="208"/>
      <c r="AD106" s="208">
        <v>0.029301910448755446</v>
      </c>
    </row>
    <row r="107" spans="1:30" ht="12.75">
      <c r="A107" s="238"/>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row>
    <row r="108" spans="1:30" ht="12.75">
      <c r="A108" s="238" t="s">
        <v>524</v>
      </c>
      <c r="B108" s="208">
        <v>2.475121813485063</v>
      </c>
      <c r="C108" s="208"/>
      <c r="D108" s="208"/>
      <c r="E108" s="208"/>
      <c r="F108" s="208"/>
      <c r="G108" s="208"/>
      <c r="H108" s="208"/>
      <c r="I108" s="208"/>
      <c r="J108" s="208"/>
      <c r="K108" s="208"/>
      <c r="L108" s="208"/>
      <c r="M108" s="208"/>
      <c r="N108" s="208"/>
      <c r="O108" s="208"/>
      <c r="P108" s="208">
        <v>37.63257943727293</v>
      </c>
      <c r="Q108" s="208"/>
      <c r="R108" s="208">
        <v>1.543669630856026</v>
      </c>
      <c r="S108" s="208"/>
      <c r="T108" s="208">
        <v>0.06766770984574362</v>
      </c>
      <c r="U108" s="208"/>
      <c r="V108" s="208">
        <v>1.9183457402719086</v>
      </c>
      <c r="W108" s="208"/>
      <c r="X108" s="208"/>
      <c r="Y108" s="208"/>
      <c r="Z108" s="208"/>
      <c r="AA108" s="208"/>
      <c r="AB108" s="208">
        <v>0.41963813068447997</v>
      </c>
      <c r="AC108" s="208"/>
      <c r="AD108" s="208">
        <v>0.01998276812783238</v>
      </c>
    </row>
    <row r="109" spans="1:30" ht="12.75">
      <c r="A109" s="238" t="s">
        <v>86</v>
      </c>
      <c r="B109" s="208">
        <v>1.2769374507040046</v>
      </c>
      <c r="C109" s="208"/>
      <c r="D109" s="208"/>
      <c r="E109" s="208"/>
      <c r="F109" s="208"/>
      <c r="G109" s="208"/>
      <c r="H109" s="208"/>
      <c r="I109" s="208"/>
      <c r="J109" s="208"/>
      <c r="K109" s="208"/>
      <c r="L109" s="208"/>
      <c r="M109" s="208"/>
      <c r="N109" s="208"/>
      <c r="O109" s="208"/>
      <c r="P109" s="208">
        <v>44.399</v>
      </c>
      <c r="Q109" s="208"/>
      <c r="R109" s="208">
        <v>0.7099899919659336</v>
      </c>
      <c r="S109" s="208"/>
      <c r="T109" s="208">
        <v>0.031122848962890238</v>
      </c>
      <c r="U109" s="208"/>
      <c r="V109" s="208">
        <v>0.8823172066734568</v>
      </c>
      <c r="W109" s="208"/>
      <c r="X109" s="208"/>
      <c r="Y109" s="208"/>
      <c r="Z109" s="208"/>
      <c r="AA109" s="208"/>
      <c r="AB109" s="208">
        <v>0.2205793016683642</v>
      </c>
      <c r="AC109" s="208"/>
      <c r="AD109" s="208">
        <v>0.005655879529958056</v>
      </c>
    </row>
    <row r="110" spans="1:30" ht="12.75">
      <c r="A110" s="250" t="s">
        <v>525</v>
      </c>
      <c r="B110" s="309">
        <f>SUM(B108:B109)</f>
        <v>3.7520592641890675</v>
      </c>
      <c r="C110" s="309"/>
      <c r="D110" s="309"/>
      <c r="E110" s="309"/>
      <c r="F110" s="309"/>
      <c r="G110" s="309"/>
      <c r="H110" s="309"/>
      <c r="I110" s="309"/>
      <c r="J110" s="309"/>
      <c r="K110" s="309"/>
      <c r="L110" s="309"/>
      <c r="M110" s="309"/>
      <c r="N110" s="309"/>
      <c r="O110" s="309"/>
      <c r="P110" s="310">
        <f>1-(R110/B110)</f>
        <v>0.39935393762789007</v>
      </c>
      <c r="Q110" s="309"/>
      <c r="R110" s="309">
        <f>SUM(R108:R109)</f>
        <v>2.2536596228219596</v>
      </c>
      <c r="S110" s="309"/>
      <c r="T110" s="309">
        <f>SUM(T108:T109)</f>
        <v>0.09879055880863385</v>
      </c>
      <c r="U110" s="309"/>
      <c r="V110" s="309">
        <f>SUM(V108:V109)</f>
        <v>2.8006629469453657</v>
      </c>
      <c r="W110" s="309"/>
      <c r="X110" s="309"/>
      <c r="Y110" s="309"/>
      <c r="Z110" s="309"/>
      <c r="AA110" s="309"/>
      <c r="AB110" s="309">
        <f>SUM(AB108:AB109)</f>
        <v>0.6402174323528442</v>
      </c>
      <c r="AC110" s="309"/>
      <c r="AD110" s="309">
        <f>SUM(AD108:AD109)</f>
        <v>0.025638647657790437</v>
      </c>
    </row>
    <row r="111" spans="1:30" ht="12.75">
      <c r="A111" s="238"/>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row>
    <row r="112" spans="1:30" ht="12.75">
      <c r="A112" s="238" t="s">
        <v>526</v>
      </c>
      <c r="B112" s="208">
        <v>0.4292008761160176</v>
      </c>
      <c r="C112" s="208"/>
      <c r="D112" s="208"/>
      <c r="E112" s="208"/>
      <c r="F112" s="208"/>
      <c r="G112" s="208"/>
      <c r="H112" s="208"/>
      <c r="I112" s="208"/>
      <c r="J112" s="208"/>
      <c r="K112" s="208"/>
      <c r="L112" s="208"/>
      <c r="M112" s="208"/>
      <c r="N112" s="208"/>
      <c r="O112" s="208"/>
      <c r="P112" s="41">
        <f>0.01*56.1020000081776</f>
        <v>0.561020000081776</v>
      </c>
      <c r="Q112" s="208"/>
      <c r="R112" s="208">
        <v>0.18841060056231101</v>
      </c>
      <c r="S112" s="208"/>
      <c r="T112" s="208">
        <v>0.0082590948191698</v>
      </c>
      <c r="U112" s="208"/>
      <c r="V112" s="208">
        <v>0.2341412085760542</v>
      </c>
      <c r="W112" s="208"/>
      <c r="X112" s="208"/>
      <c r="Y112" s="208"/>
      <c r="Z112" s="208"/>
      <c r="AA112" s="208"/>
      <c r="AB112" s="208">
        <v>0.0725837746585768</v>
      </c>
      <c r="AC112" s="208"/>
      <c r="AD112" s="208">
        <v>0.002341412085760542</v>
      </c>
    </row>
    <row r="113" spans="1:30" ht="12.75">
      <c r="A113" s="238"/>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row>
    <row r="114" spans="1:30" ht="12.75">
      <c r="A114" s="238" t="s">
        <v>527</v>
      </c>
      <c r="B114" s="208">
        <v>20.239345443785442</v>
      </c>
      <c r="C114" s="208"/>
      <c r="D114" s="208"/>
      <c r="E114" s="208"/>
      <c r="F114" s="208"/>
      <c r="G114" s="208"/>
      <c r="H114" s="208"/>
      <c r="I114" s="208"/>
      <c r="J114" s="208"/>
      <c r="K114" s="208"/>
      <c r="L114" s="208"/>
      <c r="M114" s="208"/>
      <c r="N114" s="208"/>
      <c r="O114" s="208"/>
      <c r="P114" s="208">
        <v>60.13054583105986</v>
      </c>
      <c r="Q114" s="208"/>
      <c r="R114" s="208">
        <v>8.06931655580351</v>
      </c>
      <c r="S114" s="208"/>
      <c r="T114" s="208">
        <v>0.3537234654598799</v>
      </c>
      <c r="U114" s="208"/>
      <c r="V114" s="208">
        <v>10.027883384054865</v>
      </c>
      <c r="W114" s="208"/>
      <c r="X114" s="208"/>
      <c r="Y114" s="208"/>
      <c r="Z114" s="208"/>
      <c r="AA114" s="208"/>
      <c r="AB114" s="208">
        <v>4.1991761670729755</v>
      </c>
      <c r="AC114" s="208"/>
      <c r="AD114" s="208">
        <v>0.06267427115034292</v>
      </c>
    </row>
    <row r="115" spans="1:30" ht="12.75">
      <c r="A115" s="238" t="s">
        <v>504</v>
      </c>
      <c r="B115" s="208">
        <v>1.5482275422383949</v>
      </c>
      <c r="C115" s="208"/>
      <c r="D115" s="208"/>
      <c r="E115" s="208"/>
      <c r="F115" s="208"/>
      <c r="G115" s="208"/>
      <c r="H115" s="208"/>
      <c r="I115" s="208"/>
      <c r="J115" s="208"/>
      <c r="K115" s="208"/>
      <c r="L115" s="208"/>
      <c r="M115" s="208"/>
      <c r="N115" s="208"/>
      <c r="O115" s="208"/>
      <c r="P115" s="208">
        <v>90.0736</v>
      </c>
      <c r="Q115" s="208"/>
      <c r="R115" s="208">
        <v>0.153683258752752</v>
      </c>
      <c r="S115" s="208"/>
      <c r="T115" s="208">
        <v>0.00673680038368228</v>
      </c>
      <c r="U115" s="208"/>
      <c r="V115" s="208">
        <v>0.1909849224772008</v>
      </c>
      <c r="W115" s="208"/>
      <c r="X115" s="208"/>
      <c r="Y115" s="208"/>
      <c r="Z115" s="208"/>
      <c r="AA115" s="208"/>
      <c r="AB115" s="208">
        <v>0.6684472286702029</v>
      </c>
      <c r="AC115" s="208"/>
      <c r="AD115" s="208">
        <v>0.006820890088471457</v>
      </c>
    </row>
    <row r="116" spans="1:30" ht="12.75">
      <c r="A116" s="250" t="s">
        <v>528</v>
      </c>
      <c r="B116" s="309">
        <f>SUM(B114:B115)</f>
        <v>21.787572986023836</v>
      </c>
      <c r="C116" s="309"/>
      <c r="D116" s="309"/>
      <c r="E116" s="309"/>
      <c r="F116" s="309"/>
      <c r="G116" s="309"/>
      <c r="H116" s="309"/>
      <c r="I116" s="309"/>
      <c r="J116" s="309"/>
      <c r="K116" s="309"/>
      <c r="L116" s="309"/>
      <c r="M116" s="309"/>
      <c r="N116" s="309"/>
      <c r="O116" s="309"/>
      <c r="P116" s="310">
        <f>1-(R116/B116)</f>
        <v>0.6225830284157348</v>
      </c>
      <c r="Q116" s="309"/>
      <c r="R116" s="309">
        <f>SUM(R114:R115)</f>
        <v>8.222999814556262</v>
      </c>
      <c r="S116" s="309"/>
      <c r="T116" s="309">
        <f>SUM(T114:T115)</f>
        <v>0.3604602658435622</v>
      </c>
      <c r="U116" s="309"/>
      <c r="V116" s="309">
        <f>SUM(V114:V115)</f>
        <v>10.218868306532066</v>
      </c>
      <c r="W116" s="309"/>
      <c r="X116" s="309"/>
      <c r="Y116" s="309"/>
      <c r="Z116" s="309"/>
      <c r="AA116" s="309"/>
      <c r="AB116" s="309">
        <f>SUM(AB114:AB115)</f>
        <v>4.867623395743179</v>
      </c>
      <c r="AC116" s="309"/>
      <c r="AD116" s="309">
        <f>SUM(AD114:AD115)</f>
        <v>0.06949516123881438</v>
      </c>
    </row>
    <row r="117" spans="1:30" ht="12.75">
      <c r="A117" s="238"/>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row>
    <row r="118" spans="1:30" ht="12.75">
      <c r="A118" s="238" t="s">
        <v>529</v>
      </c>
      <c r="B118" s="208">
        <v>0.5246440555339997</v>
      </c>
      <c r="C118" s="208"/>
      <c r="D118" s="208"/>
      <c r="E118" s="208"/>
      <c r="F118" s="208"/>
      <c r="G118" s="208"/>
      <c r="H118" s="208"/>
      <c r="I118" s="208"/>
      <c r="J118" s="208"/>
      <c r="K118" s="208"/>
      <c r="L118" s="208"/>
      <c r="M118" s="208"/>
      <c r="N118" s="208"/>
      <c r="O118" s="208"/>
      <c r="P118" s="41">
        <f>0.01*67.0579918536115</f>
        <v>0.670579918536115</v>
      </c>
      <c r="Q118" s="208"/>
      <c r="R118" s="208">
        <v>0.17282828751355306</v>
      </c>
      <c r="S118" s="208"/>
      <c r="T118" s="208">
        <v>0.007576034521142051</v>
      </c>
      <c r="U118" s="208"/>
      <c r="V118" s="208">
        <v>0.2147767906571166</v>
      </c>
      <c r="W118" s="208"/>
      <c r="X118" s="208"/>
      <c r="Y118" s="208"/>
      <c r="Z118" s="208"/>
      <c r="AA118" s="208"/>
      <c r="AB118" s="208">
        <v>0.03517895709038978</v>
      </c>
      <c r="AC118" s="208"/>
      <c r="AD118" s="208">
        <v>0.0018515240573889363</v>
      </c>
    </row>
    <row r="119" spans="1:33" ht="12.75">
      <c r="A119" s="238"/>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G119" s="14"/>
    </row>
    <row r="120" spans="1:32" ht="12.75">
      <c r="A120" s="253" t="s">
        <v>530</v>
      </c>
      <c r="B120" s="321">
        <f>SUM(B122:B129)</f>
        <v>7.452591307595391</v>
      </c>
      <c r="C120" s="208"/>
      <c r="D120" s="208"/>
      <c r="E120" s="208"/>
      <c r="F120" s="208"/>
      <c r="G120" s="208"/>
      <c r="H120" s="208"/>
      <c r="I120" s="208"/>
      <c r="J120" s="208"/>
      <c r="K120" s="208"/>
      <c r="L120" s="208"/>
      <c r="M120" s="208"/>
      <c r="N120" s="208"/>
      <c r="O120" s="208"/>
      <c r="P120" s="322">
        <f>1-(R120/B120)</f>
        <v>0.15400000000000025</v>
      </c>
      <c r="Q120" s="321"/>
      <c r="R120" s="321">
        <f>SUM(R122:R129)</f>
        <v>6.304892246225699</v>
      </c>
      <c r="S120" s="321"/>
      <c r="T120" s="321">
        <f>SUM(T122:T129)</f>
        <v>0.2763788381907156</v>
      </c>
      <c r="U120" s="321"/>
      <c r="V120" s="321">
        <f>SUM(V122:V129)</f>
        <v>7.8352018732876925</v>
      </c>
      <c r="W120" s="321"/>
      <c r="X120" s="321"/>
      <c r="Y120" s="321"/>
      <c r="Z120" s="321"/>
      <c r="AA120" s="321"/>
      <c r="AB120" s="321">
        <f>SUM(AB122:AB129)</f>
        <v>10.496572153130046</v>
      </c>
      <c r="AC120" s="321"/>
      <c r="AD120" s="321">
        <f>SUM(AD122:AD129)</f>
        <v>0.10415181025887801</v>
      </c>
      <c r="AE120" s="323"/>
      <c r="AF120" s="321">
        <f>B120/AD120</f>
        <v>71.55508184707836</v>
      </c>
    </row>
    <row r="121" spans="1:33" s="27" customFormat="1" ht="12.75">
      <c r="A121" s="318"/>
      <c r="B121" s="324"/>
      <c r="C121" s="324"/>
      <c r="D121" s="324"/>
      <c r="E121" s="324"/>
      <c r="F121" s="324"/>
      <c r="G121" s="324"/>
      <c r="H121" s="324"/>
      <c r="I121" s="324"/>
      <c r="J121" s="324"/>
      <c r="K121" s="324"/>
      <c r="L121" s="324"/>
      <c r="M121" s="324"/>
      <c r="N121" s="324"/>
      <c r="O121" s="324"/>
      <c r="P121" s="325"/>
      <c r="Q121" s="129"/>
      <c r="R121" s="129"/>
      <c r="S121" s="129"/>
      <c r="T121" s="129"/>
      <c r="U121" s="129"/>
      <c r="V121" s="129"/>
      <c r="W121" s="129"/>
      <c r="X121" s="129"/>
      <c r="Y121" s="129"/>
      <c r="Z121" s="129"/>
      <c r="AA121" s="129"/>
      <c r="AB121" s="129"/>
      <c r="AC121" s="129"/>
      <c r="AD121" s="129"/>
      <c r="AE121" s="6"/>
      <c r="AF121" s="6"/>
      <c r="AG121" s="40"/>
    </row>
    <row r="122" spans="1:33" ht="12.75">
      <c r="A122" s="238" t="s">
        <v>531</v>
      </c>
      <c r="B122" s="208">
        <v>0.5405313657609925</v>
      </c>
      <c r="C122" s="208"/>
      <c r="D122" s="208"/>
      <c r="E122" s="208"/>
      <c r="F122" s="208"/>
      <c r="G122" s="208"/>
      <c r="H122" s="208"/>
      <c r="I122" s="208"/>
      <c r="J122" s="208"/>
      <c r="K122" s="208"/>
      <c r="L122" s="208"/>
      <c r="M122" s="208"/>
      <c r="N122" s="208"/>
      <c r="O122" s="208"/>
      <c r="P122" s="208">
        <v>15.40000000000001</v>
      </c>
      <c r="Q122" s="208"/>
      <c r="R122" s="208">
        <v>0.45728953543379963</v>
      </c>
      <c r="S122" s="208"/>
      <c r="T122" s="208">
        <v>0.020045568676550118</v>
      </c>
      <c r="U122" s="208"/>
      <c r="V122" s="208">
        <v>0.5682818491958577</v>
      </c>
      <c r="W122" s="208"/>
      <c r="X122" s="208"/>
      <c r="Y122" s="208"/>
      <c r="Z122" s="208"/>
      <c r="AA122" s="208"/>
      <c r="AB122" s="208">
        <v>0.7402702723440197</v>
      </c>
      <c r="AC122" s="208"/>
      <c r="AD122" s="208">
        <v>0.007775948238907769</v>
      </c>
      <c r="AG122" s="208"/>
    </row>
    <row r="123" spans="1:33" ht="12.75">
      <c r="A123" s="238" t="s">
        <v>532</v>
      </c>
      <c r="B123" s="208">
        <v>0.50143551976476</v>
      </c>
      <c r="C123" s="208"/>
      <c r="D123" s="208"/>
      <c r="E123" s="208"/>
      <c r="F123" s="208"/>
      <c r="G123" s="208"/>
      <c r="H123" s="208"/>
      <c r="I123" s="208"/>
      <c r="J123" s="208"/>
      <c r="K123" s="208"/>
      <c r="L123" s="208"/>
      <c r="M123" s="208"/>
      <c r="N123" s="208"/>
      <c r="O123" s="208"/>
      <c r="P123" s="208">
        <v>15.4</v>
      </c>
      <c r="Q123" s="208"/>
      <c r="R123" s="208">
        <v>0.42421444972098693</v>
      </c>
      <c r="S123" s="208"/>
      <c r="T123" s="208">
        <v>0.01859570190557751</v>
      </c>
      <c r="U123" s="208"/>
      <c r="V123" s="208">
        <v>0.5271788511721696</v>
      </c>
      <c r="W123" s="208"/>
      <c r="X123" s="208"/>
      <c r="Y123" s="208"/>
      <c r="Z123" s="208"/>
      <c r="AA123" s="208"/>
      <c r="AB123" s="208">
        <v>0.6719296543753754</v>
      </c>
      <c r="AC123" s="208"/>
      <c r="AD123" s="208">
        <v>0.007148187812503993</v>
      </c>
      <c r="AG123" s="208"/>
    </row>
    <row r="124" spans="1:33" ht="12.75">
      <c r="A124" s="238" t="s">
        <v>533</v>
      </c>
      <c r="B124" s="208">
        <v>0.9740529890881439</v>
      </c>
      <c r="C124" s="208"/>
      <c r="D124" s="208"/>
      <c r="E124" s="208"/>
      <c r="F124" s="208"/>
      <c r="G124" s="208"/>
      <c r="H124" s="208"/>
      <c r="I124" s="208"/>
      <c r="J124" s="208"/>
      <c r="K124" s="208"/>
      <c r="L124" s="208"/>
      <c r="M124" s="208"/>
      <c r="N124" s="208"/>
      <c r="O124" s="208"/>
      <c r="P124" s="208">
        <v>15.400000000000002</v>
      </c>
      <c r="Q124" s="208"/>
      <c r="R124" s="208">
        <v>0.8240488287685697</v>
      </c>
      <c r="S124" s="208"/>
      <c r="T124" s="208">
        <v>0.036122688384375656</v>
      </c>
      <c r="U124" s="208"/>
      <c r="V124" s="208">
        <v>1.0240601543528576</v>
      </c>
      <c r="W124" s="208"/>
      <c r="X124" s="208"/>
      <c r="Y124" s="208"/>
      <c r="Z124" s="208"/>
      <c r="AA124" s="208"/>
      <c r="AB124" s="208">
        <v>1.2008015007893917</v>
      </c>
      <c r="AC124" s="208"/>
      <c r="AD124" s="208">
        <v>0.010396549790384343</v>
      </c>
      <c r="AG124" s="208"/>
    </row>
    <row r="125" spans="1:33" ht="12.75">
      <c r="A125" s="238" t="s">
        <v>534</v>
      </c>
      <c r="B125" s="208">
        <v>0.8793752266933899</v>
      </c>
      <c r="C125" s="208"/>
      <c r="D125" s="208"/>
      <c r="E125" s="208"/>
      <c r="F125" s="208"/>
      <c r="G125" s="208"/>
      <c r="H125" s="208"/>
      <c r="I125" s="208"/>
      <c r="J125" s="208"/>
      <c r="K125" s="208"/>
      <c r="L125" s="208"/>
      <c r="M125" s="208"/>
      <c r="N125" s="208"/>
      <c r="O125" s="208"/>
      <c r="P125" s="208">
        <v>15.40000000000001</v>
      </c>
      <c r="Q125" s="208"/>
      <c r="R125" s="208">
        <v>0.7439514417826079</v>
      </c>
      <c r="S125" s="208"/>
      <c r="T125" s="208">
        <v>0.03261157005074446</v>
      </c>
      <c r="U125" s="208"/>
      <c r="V125" s="208">
        <v>0.9245217051535798</v>
      </c>
      <c r="W125" s="208"/>
      <c r="X125" s="208"/>
      <c r="Y125" s="208"/>
      <c r="Z125" s="208"/>
      <c r="AA125" s="208"/>
      <c r="AB125" s="208">
        <v>1.292355278204925</v>
      </c>
      <c r="AC125" s="208"/>
      <c r="AD125" s="208">
        <v>0.012192030926461556</v>
      </c>
      <c r="AG125" s="208"/>
    </row>
    <row r="126" spans="1:33" ht="12.75">
      <c r="A126" s="238" t="s">
        <v>535</v>
      </c>
      <c r="B126" s="208">
        <v>2.8621748333117103</v>
      </c>
      <c r="C126" s="208"/>
      <c r="D126" s="208"/>
      <c r="E126" s="208"/>
      <c r="F126" s="208"/>
      <c r="G126" s="208"/>
      <c r="H126" s="208"/>
      <c r="I126" s="208"/>
      <c r="J126" s="208"/>
      <c r="K126" s="208"/>
      <c r="L126" s="208"/>
      <c r="M126" s="208"/>
      <c r="N126" s="208"/>
      <c r="O126" s="208"/>
      <c r="P126" s="208">
        <v>15.400000000000006</v>
      </c>
      <c r="Q126" s="208"/>
      <c r="R126" s="208">
        <v>2.421399908981707</v>
      </c>
      <c r="S126" s="208"/>
      <c r="T126" s="208">
        <v>0.10614355765399264</v>
      </c>
      <c r="U126" s="208"/>
      <c r="V126" s="208">
        <v>3.0091167877118634</v>
      </c>
      <c r="W126" s="208"/>
      <c r="X126" s="208"/>
      <c r="Y126" s="208"/>
      <c r="Z126" s="208"/>
      <c r="AA126" s="208"/>
      <c r="AB126" s="208">
        <v>4.307788243461195</v>
      </c>
      <c r="AC126" s="208"/>
      <c r="AD126" s="208">
        <v>0.04223321807314897</v>
      </c>
      <c r="AG126" s="208"/>
    </row>
    <row r="127" spans="1:33" ht="12.75">
      <c r="A127" s="238" t="s">
        <v>536</v>
      </c>
      <c r="B127" s="208">
        <v>0.22584582125798797</v>
      </c>
      <c r="C127" s="208"/>
      <c r="D127" s="208"/>
      <c r="E127" s="208"/>
      <c r="F127" s="208"/>
      <c r="G127" s="208"/>
      <c r="H127" s="208"/>
      <c r="I127" s="208"/>
      <c r="J127" s="208"/>
      <c r="K127" s="208"/>
      <c r="L127" s="208"/>
      <c r="M127" s="208"/>
      <c r="N127" s="208"/>
      <c r="O127" s="208"/>
      <c r="P127" s="208">
        <v>15.400000000000002</v>
      </c>
      <c r="Q127" s="208"/>
      <c r="R127" s="208">
        <v>0.19106556478425782</v>
      </c>
      <c r="S127" s="208"/>
      <c r="T127" s="208">
        <v>0.008375476812460616</v>
      </c>
      <c r="U127" s="208"/>
      <c r="V127" s="208">
        <v>0.23744057989485223</v>
      </c>
      <c r="W127" s="208"/>
      <c r="X127" s="208"/>
      <c r="Y127" s="208"/>
      <c r="Z127" s="208"/>
      <c r="AA127" s="208"/>
      <c r="AB127" s="208">
        <v>0.28009939594375793</v>
      </c>
      <c r="AC127" s="208"/>
      <c r="AD127" s="208">
        <v>0.003219533286709861</v>
      </c>
      <c r="AG127" s="208"/>
    </row>
    <row r="128" spans="1:33" ht="12.75">
      <c r="A128" s="254" t="s">
        <v>537</v>
      </c>
      <c r="B128" s="208">
        <v>0.1118359057102252</v>
      </c>
      <c r="C128" s="208"/>
      <c r="D128" s="208"/>
      <c r="E128" s="208"/>
      <c r="F128" s="208"/>
      <c r="G128" s="208"/>
      <c r="H128" s="208"/>
      <c r="I128" s="208"/>
      <c r="J128" s="208"/>
      <c r="K128" s="208"/>
      <c r="L128" s="208"/>
      <c r="M128" s="208"/>
      <c r="N128" s="208"/>
      <c r="O128" s="208"/>
      <c r="P128" s="208">
        <v>15.400000000000002</v>
      </c>
      <c r="Q128" s="208"/>
      <c r="R128" s="208">
        <v>0.0946131762308505</v>
      </c>
      <c r="S128" s="208"/>
      <c r="T128" s="208">
        <v>0.004147426903270159</v>
      </c>
      <c r="U128" s="208"/>
      <c r="V128" s="208">
        <v>0.11757747899425738</v>
      </c>
      <c r="W128" s="208"/>
      <c r="X128" s="208"/>
      <c r="Y128" s="208"/>
      <c r="Z128" s="208"/>
      <c r="AA128" s="208"/>
      <c r="AB128" s="208">
        <v>0.14441960571086251</v>
      </c>
      <c r="AC128" s="208"/>
      <c r="AD128" s="208">
        <v>0.0016599954679409484</v>
      </c>
      <c r="AG128" s="208"/>
    </row>
    <row r="129" spans="1:33" ht="12.75">
      <c r="A129" s="254" t="s">
        <v>538</v>
      </c>
      <c r="B129" s="208">
        <v>1.3573396460081804</v>
      </c>
      <c r="C129" s="208"/>
      <c r="D129" s="208"/>
      <c r="E129" s="208"/>
      <c r="F129" s="208"/>
      <c r="G129" s="208"/>
      <c r="H129" s="208"/>
      <c r="I129" s="208"/>
      <c r="J129" s="208"/>
      <c r="K129" s="208"/>
      <c r="L129" s="208"/>
      <c r="M129" s="208"/>
      <c r="N129" s="208"/>
      <c r="O129" s="208"/>
      <c r="P129" s="208">
        <v>15.400000000000006</v>
      </c>
      <c r="Q129" s="208"/>
      <c r="R129" s="208">
        <v>1.1483093405229206</v>
      </c>
      <c r="S129" s="208"/>
      <c r="T129" s="208">
        <v>0.050336847803744464</v>
      </c>
      <c r="U129" s="208"/>
      <c r="V129" s="208">
        <v>1.4270244668122536</v>
      </c>
      <c r="W129" s="208"/>
      <c r="X129" s="208"/>
      <c r="Y129" s="208"/>
      <c r="Z129" s="208"/>
      <c r="AA129" s="208"/>
      <c r="AB129" s="208">
        <v>1.8589082023005195</v>
      </c>
      <c r="AC129" s="208"/>
      <c r="AD129" s="208">
        <v>0.01952634666282058</v>
      </c>
      <c r="AG129" s="208"/>
    </row>
    <row r="130" spans="1:30" ht="13.5" thickBot="1">
      <c r="A130" s="254"/>
      <c r="B130" s="208"/>
      <c r="C130" s="208"/>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row>
    <row r="131" spans="1:32" ht="13.5" thickBot="1">
      <c r="A131" s="326" t="s">
        <v>63</v>
      </c>
      <c r="B131" s="327">
        <f>B120+B70+B48+B31+B9</f>
        <v>390.7218000153644</v>
      </c>
      <c r="C131" s="327"/>
      <c r="D131" s="327"/>
      <c r="E131" s="327"/>
      <c r="F131" s="327"/>
      <c r="G131" s="327"/>
      <c r="H131" s="327"/>
      <c r="I131" s="327"/>
      <c r="J131" s="327"/>
      <c r="K131" s="327"/>
      <c r="L131" s="327"/>
      <c r="M131" s="327"/>
      <c r="N131" s="327"/>
      <c r="O131" s="327"/>
      <c r="P131" s="548">
        <f>1-(R131/B131)</f>
        <v>0.5852424769398571</v>
      </c>
      <c r="Q131" s="327"/>
      <c r="R131" s="327">
        <f aca="true" t="shared" si="6" ref="R131:AD131">R120+R70+R48+R31+R9</f>
        <v>162.05480597997305</v>
      </c>
      <c r="S131" s="327">
        <f t="shared" si="6"/>
        <v>0</v>
      </c>
      <c r="T131" s="327">
        <f t="shared" si="6"/>
        <v>7.103772316930327</v>
      </c>
      <c r="U131" s="327">
        <f t="shared" si="6"/>
        <v>0</v>
      </c>
      <c r="V131" s="327">
        <f t="shared" si="6"/>
        <v>201.38839329881625</v>
      </c>
      <c r="W131" s="327">
        <f t="shared" si="6"/>
        <v>0</v>
      </c>
      <c r="X131" s="327">
        <f t="shared" si="6"/>
        <v>0</v>
      </c>
      <c r="Y131" s="327">
        <f t="shared" si="6"/>
        <v>0</v>
      </c>
      <c r="Z131" s="327">
        <f t="shared" si="6"/>
        <v>0</v>
      </c>
      <c r="AA131" s="327">
        <f t="shared" si="6"/>
        <v>0</v>
      </c>
      <c r="AB131" s="327">
        <f t="shared" si="6"/>
        <v>126.56486059017605</v>
      </c>
      <c r="AC131" s="327">
        <f t="shared" si="6"/>
        <v>0</v>
      </c>
      <c r="AD131" s="327">
        <f t="shared" si="6"/>
        <v>1.6356912107502117</v>
      </c>
      <c r="AE131" s="328"/>
      <c r="AF131" s="329"/>
    </row>
    <row r="132" spans="1:30" ht="12.75">
      <c r="A132" s="238"/>
      <c r="B132" s="208"/>
      <c r="C132" s="208"/>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row>
    <row r="133" spans="1:30" ht="12.75">
      <c r="A133" s="238"/>
      <c r="B133" s="208"/>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row>
    <row r="134" spans="1:30" s="233" customFormat="1" ht="12" customHeight="1">
      <c r="A134" s="330" t="s">
        <v>507</v>
      </c>
      <c r="B134" s="239">
        <v>0.6855224074792378</v>
      </c>
      <c r="C134" s="239"/>
      <c r="D134" s="239"/>
      <c r="E134" s="239"/>
      <c r="F134" s="239"/>
      <c r="G134" s="239"/>
      <c r="H134" s="239"/>
      <c r="I134" s="239"/>
      <c r="J134" s="239"/>
      <c r="K134" s="239"/>
      <c r="L134" s="239"/>
      <c r="M134" s="239"/>
      <c r="N134" s="239"/>
      <c r="O134" s="239"/>
      <c r="P134" s="242">
        <f>0.01*83.4899281909568</f>
        <v>0.8348992819095681</v>
      </c>
      <c r="Q134" s="239"/>
      <c r="R134" s="239">
        <v>0.1131802417419037</v>
      </c>
      <c r="S134" s="239"/>
      <c r="T134" s="239">
        <v>0.004961325665398519</v>
      </c>
      <c r="U134" s="239"/>
      <c r="V134" s="239">
        <v>0.14065110195121533</v>
      </c>
      <c r="W134" s="239"/>
      <c r="X134" s="239"/>
      <c r="Y134" s="239"/>
      <c r="Z134" s="239"/>
      <c r="AA134" s="239"/>
      <c r="AB134" s="239">
        <v>0.06598446758205165</v>
      </c>
      <c r="AC134" s="239"/>
      <c r="AD134" s="239">
        <v>0.0008682166787112056</v>
      </c>
    </row>
    <row r="135" spans="1:30" s="233" customFormat="1" ht="12.75">
      <c r="A135" s="330" t="s">
        <v>510</v>
      </c>
      <c r="B135" s="240">
        <f>AVERAGE(B72:B134)</f>
        <v>13.06416958265177</v>
      </c>
      <c r="C135" s="241"/>
      <c r="D135" s="331"/>
      <c r="E135" s="331"/>
      <c r="F135" s="240"/>
      <c r="G135" s="331"/>
      <c r="H135" s="331"/>
      <c r="I135" s="331"/>
      <c r="J135" s="240"/>
      <c r="K135" s="331"/>
      <c r="L135" s="331"/>
      <c r="M135" s="331"/>
      <c r="N135" s="331"/>
      <c r="O135" s="331"/>
      <c r="P135" s="240">
        <f>AVERAGE(P72:P134)</f>
        <v>24.417710375519498</v>
      </c>
      <c r="Q135" s="331"/>
      <c r="R135" s="240">
        <f>AVERAGE(R72:R134)</f>
        <v>5.611653244883747</v>
      </c>
      <c r="S135" s="240"/>
      <c r="T135" s="240">
        <f>AVERAGE(T72:T134)</f>
        <v>0.24599027922778066</v>
      </c>
      <c r="U135" s="332"/>
      <c r="V135" s="240">
        <f>AVERAGE(V72:V134)</f>
        <v>6.973701420967967</v>
      </c>
      <c r="W135" s="331"/>
      <c r="X135" s="331"/>
      <c r="Y135" s="331"/>
      <c r="Z135" s="331"/>
      <c r="AA135" s="331"/>
      <c r="AB135" s="240">
        <f>AVERAGE(AB72:AB134)</f>
        <v>4.051349129819493</v>
      </c>
      <c r="AC135" s="331"/>
      <c r="AD135" s="240">
        <f>AVERAGE(AD72:AD134)</f>
        <v>0.058608155812822305</v>
      </c>
    </row>
    <row r="136" ht="12.75">
      <c r="A136" s="238"/>
    </row>
    <row r="137" ht="12.75">
      <c r="A137" s="238"/>
    </row>
    <row r="138" ht="12.75">
      <c r="A138" s="238"/>
    </row>
    <row r="139" ht="12.75">
      <c r="A139" s="238"/>
    </row>
    <row r="140" ht="12.75">
      <c r="A140" s="238"/>
    </row>
    <row r="141" ht="12.75">
      <c r="A141" s="238"/>
    </row>
    <row r="142" ht="12.75">
      <c r="A142" s="238"/>
    </row>
    <row r="143" ht="12.75">
      <c r="A143" s="249"/>
    </row>
    <row r="144" ht="12.75">
      <c r="A144" s="249"/>
    </row>
    <row r="145" ht="12.75">
      <c r="A145" s="249"/>
    </row>
    <row r="146" ht="12.75">
      <c r="A146" s="249"/>
    </row>
    <row r="147" ht="12.75">
      <c r="A147" s="249"/>
    </row>
    <row r="148" ht="12.75">
      <c r="A148" s="249"/>
    </row>
    <row r="149" ht="12.75">
      <c r="A149" s="249"/>
    </row>
    <row r="150" ht="12.75">
      <c r="A150" s="249"/>
    </row>
    <row r="151" ht="12.75">
      <c r="A151" s="249"/>
    </row>
    <row r="152" ht="12.75">
      <c r="A152" s="249"/>
    </row>
    <row r="153" ht="12.75">
      <c r="A153" s="249"/>
    </row>
    <row r="154" ht="12.75">
      <c r="A154" s="249"/>
    </row>
    <row r="155" ht="12.75">
      <c r="A155" s="249"/>
    </row>
    <row r="156" ht="12.75">
      <c r="A156" s="249"/>
    </row>
    <row r="157" ht="12.75">
      <c r="A157" s="249"/>
    </row>
    <row r="158" ht="12.75">
      <c r="A158" s="249"/>
    </row>
    <row r="159" ht="12.75">
      <c r="A159" s="249"/>
    </row>
  </sheetData>
  <sheetProtection/>
  <mergeCells count="30">
    <mergeCell ref="AB8:AC8"/>
    <mergeCell ref="AD8:AE8"/>
    <mergeCell ref="P8:Q8"/>
    <mergeCell ref="R8:S8"/>
    <mergeCell ref="T8:U8"/>
    <mergeCell ref="V8:W8"/>
    <mergeCell ref="X8:Y8"/>
    <mergeCell ref="Z8:AA8"/>
    <mergeCell ref="AF4:AF7"/>
    <mergeCell ref="L5:M7"/>
    <mergeCell ref="N5:O7"/>
    <mergeCell ref="B8:C8"/>
    <mergeCell ref="D8:E8"/>
    <mergeCell ref="F8:G8"/>
    <mergeCell ref="H8:I8"/>
    <mergeCell ref="J8:K8"/>
    <mergeCell ref="L8:M8"/>
    <mergeCell ref="N8:O8"/>
    <mergeCell ref="P4:Q7"/>
    <mergeCell ref="R4:W7"/>
    <mergeCell ref="X4:Y7"/>
    <mergeCell ref="Z4:AA7"/>
    <mergeCell ref="AB4:AC7"/>
    <mergeCell ref="AD4:AE7"/>
    <mergeCell ref="B4:C7"/>
    <mergeCell ref="D4:E7"/>
    <mergeCell ref="F4:G7"/>
    <mergeCell ref="H4:I7"/>
    <mergeCell ref="J4:K7"/>
    <mergeCell ref="L4:O4"/>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W63"/>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57" sqref="A57"/>
    </sheetView>
  </sheetViews>
  <sheetFormatPr defaultColWidth="11.421875" defaultRowHeight="12.75"/>
  <cols>
    <col min="1" max="1" width="19.00390625" style="620" customWidth="1"/>
    <col min="2" max="2" width="12.140625" style="84" customWidth="1"/>
    <col min="3" max="3" width="12.7109375" style="14" customWidth="1"/>
    <col min="4" max="8" width="7.28125" style="14" hidden="1" customWidth="1"/>
    <col min="9" max="9" width="17.421875" style="14" customWidth="1"/>
    <col min="10" max="10" width="14.28125" style="14" customWidth="1"/>
    <col min="11" max="11" width="14.421875" style="17" customWidth="1"/>
    <col min="12" max="12" width="9.140625" style="17" hidden="1" customWidth="1"/>
    <col min="13" max="13" width="12.7109375" style="17" customWidth="1"/>
    <col min="14" max="14" width="15.421875" style="17" hidden="1" customWidth="1"/>
    <col min="15" max="15" width="10.7109375" style="40" customWidth="1"/>
    <col min="16" max="16" width="11.7109375" style="155" customWidth="1"/>
    <col min="17" max="17" width="12.28125" style="17" customWidth="1"/>
    <col min="18" max="20" width="9.140625" style="17" hidden="1" customWidth="1"/>
    <col min="21" max="21" width="11.28125" style="17" customWidth="1"/>
    <col min="22" max="22" width="15.28125" style="14" customWidth="1"/>
    <col min="23" max="23" width="11.28125" style="40" bestFit="1" customWidth="1"/>
    <col min="24" max="16384" width="11.421875" style="40" customWidth="1"/>
  </cols>
  <sheetData>
    <row r="1" spans="1:23" s="14" customFormat="1" ht="15.75">
      <c r="A1" s="549" t="s">
        <v>269</v>
      </c>
      <c r="B1" s="84"/>
      <c r="K1" s="17"/>
      <c r="L1" s="17"/>
      <c r="M1" s="17"/>
      <c r="N1" s="17"/>
      <c r="O1" s="40"/>
      <c r="P1" s="155"/>
      <c r="Q1" s="17"/>
      <c r="R1" s="17"/>
      <c r="S1" s="17"/>
      <c r="T1" s="17"/>
      <c r="U1" s="17"/>
      <c r="W1" s="40"/>
    </row>
    <row r="2" spans="1:23" s="556" customFormat="1" ht="63.75">
      <c r="A2" s="550"/>
      <c r="B2" s="551" t="s">
        <v>139</v>
      </c>
      <c r="C2" s="552" t="s">
        <v>813</v>
      </c>
      <c r="D2" s="552"/>
      <c r="E2" s="552"/>
      <c r="F2" s="552"/>
      <c r="G2" s="552"/>
      <c r="H2" s="552"/>
      <c r="I2" s="552" t="s">
        <v>814</v>
      </c>
      <c r="J2" s="992" t="s">
        <v>1064</v>
      </c>
      <c r="K2" s="553" t="s">
        <v>184</v>
      </c>
      <c r="L2" s="553"/>
      <c r="M2" s="553" t="s">
        <v>815</v>
      </c>
      <c r="N2" s="553" t="s">
        <v>142</v>
      </c>
      <c r="O2" s="554" t="s">
        <v>816</v>
      </c>
      <c r="P2" s="555" t="s">
        <v>817</v>
      </c>
      <c r="Q2" s="553" t="s">
        <v>143</v>
      </c>
      <c r="R2" s="553" t="s">
        <v>144</v>
      </c>
      <c r="S2" s="553" t="s">
        <v>145</v>
      </c>
      <c r="T2" s="553" t="s">
        <v>146</v>
      </c>
      <c r="U2" s="553" t="s">
        <v>147</v>
      </c>
      <c r="V2" s="552" t="s">
        <v>818</v>
      </c>
      <c r="W2" s="554" t="s">
        <v>1179</v>
      </c>
    </row>
    <row r="3" spans="1:23" s="563" customFormat="1" ht="12.75" thickBot="1">
      <c r="A3" s="557"/>
      <c r="B3" s="558" t="s">
        <v>99</v>
      </c>
      <c r="C3" s="558" t="s">
        <v>99</v>
      </c>
      <c r="D3" s="559" t="s">
        <v>99</v>
      </c>
      <c r="E3" s="559" t="s">
        <v>99</v>
      </c>
      <c r="F3" s="559" t="s">
        <v>99</v>
      </c>
      <c r="G3" s="559" t="s">
        <v>99</v>
      </c>
      <c r="H3" s="559" t="s">
        <v>99</v>
      </c>
      <c r="I3" s="558" t="s">
        <v>99</v>
      </c>
      <c r="J3" s="558"/>
      <c r="K3" s="560" t="s">
        <v>99</v>
      </c>
      <c r="L3" s="560"/>
      <c r="M3" s="560" t="s">
        <v>99</v>
      </c>
      <c r="N3" s="560" t="s">
        <v>99</v>
      </c>
      <c r="O3" s="561" t="s">
        <v>99</v>
      </c>
      <c r="P3" s="562" t="s">
        <v>99</v>
      </c>
      <c r="Q3" s="560" t="s">
        <v>99</v>
      </c>
      <c r="R3" s="560" t="s">
        <v>148</v>
      </c>
      <c r="S3" s="560" t="s">
        <v>149</v>
      </c>
      <c r="T3" s="560"/>
      <c r="U3" s="560" t="s">
        <v>99</v>
      </c>
      <c r="V3" s="562" t="s">
        <v>99</v>
      </c>
      <c r="W3" s="562" t="s">
        <v>99</v>
      </c>
    </row>
    <row r="4" spans="1:23" s="156" customFormat="1" ht="13.5" thickBot="1">
      <c r="A4" s="564" t="s">
        <v>819</v>
      </c>
      <c r="B4" s="565">
        <f>VegCurrent!AD9</f>
        <v>0.14302051853633085</v>
      </c>
      <c r="C4" s="566"/>
      <c r="D4" s="566"/>
      <c r="E4" s="566"/>
      <c r="F4" s="566"/>
      <c r="G4" s="566"/>
      <c r="H4" s="566"/>
      <c r="I4" s="567">
        <f>SUM(I6:I11)/3</f>
        <v>20083.333333333332</v>
      </c>
      <c r="J4" s="567"/>
      <c r="K4" s="568">
        <v>14582</v>
      </c>
      <c r="L4" s="569">
        <f>(K4-I4)/I4</f>
        <v>-0.2739253112033195</v>
      </c>
      <c r="M4" s="568">
        <f>(4000+M7+M11)/3</f>
        <v>4273.444444444444</v>
      </c>
      <c r="N4" s="568">
        <f>(N5+N7+N11)/3</f>
        <v>16351.11111111111</v>
      </c>
      <c r="O4" s="568">
        <f>(O7+O11)/2</f>
        <v>11850</v>
      </c>
      <c r="P4" s="568">
        <f>SUM(P5:P11)/4</f>
        <v>18060.75</v>
      </c>
      <c r="Q4" s="568"/>
      <c r="R4" s="568"/>
      <c r="S4" s="568"/>
      <c r="T4" s="568"/>
      <c r="U4" s="568"/>
      <c r="V4" s="566"/>
      <c r="W4" s="570">
        <v>20000</v>
      </c>
    </row>
    <row r="5" spans="1:23" s="14" customFormat="1" ht="12.75">
      <c r="A5" s="571" t="s">
        <v>77</v>
      </c>
      <c r="B5" s="572">
        <f>VegCurrent!AD13</f>
        <v>0.04224763392264512</v>
      </c>
      <c r="C5" s="184">
        <f>B5/B4</f>
        <v>0.29539561424477107</v>
      </c>
      <c r="I5" s="573"/>
      <c r="J5" s="573"/>
      <c r="K5" s="17"/>
      <c r="L5" s="17"/>
      <c r="M5" s="17" t="s">
        <v>78</v>
      </c>
      <c r="N5" s="17">
        <v>15140</v>
      </c>
      <c r="O5" s="40"/>
      <c r="P5" s="574">
        <v>4968</v>
      </c>
      <c r="Q5" s="222">
        <v>10500</v>
      </c>
      <c r="R5" s="222">
        <v>2</v>
      </c>
      <c r="S5" s="222">
        <v>14520</v>
      </c>
      <c r="T5" s="222">
        <v>75</v>
      </c>
      <c r="U5" s="222">
        <f>(S5*T5)/100</f>
        <v>10890</v>
      </c>
      <c r="V5" s="51">
        <v>8000</v>
      </c>
      <c r="W5" s="575"/>
    </row>
    <row r="6" spans="1:23" s="14" customFormat="1" ht="12.75">
      <c r="A6" s="571" t="s">
        <v>820</v>
      </c>
      <c r="B6" s="572">
        <f>VegCurrent!AD17</f>
        <v>0.0019514521315757483</v>
      </c>
      <c r="C6" s="184">
        <f>B6/B4</f>
        <v>0.013644560595548602</v>
      </c>
      <c r="F6" s="51">
        <v>28000</v>
      </c>
      <c r="G6" s="51">
        <v>28000</v>
      </c>
      <c r="I6" s="17">
        <f>SUM(D6:H6)/2</f>
        <v>28000</v>
      </c>
      <c r="J6" s="17"/>
      <c r="K6" s="17"/>
      <c r="L6" s="17"/>
      <c r="M6" s="17" t="s">
        <v>88</v>
      </c>
      <c r="N6" s="17" t="s">
        <v>88</v>
      </c>
      <c r="O6" s="40"/>
      <c r="P6" s="574">
        <v>31050</v>
      </c>
      <c r="Q6" s="17">
        <v>13500</v>
      </c>
      <c r="R6" s="17">
        <v>3</v>
      </c>
      <c r="S6" s="17">
        <v>21780</v>
      </c>
      <c r="T6" s="17"/>
      <c r="U6" s="17"/>
      <c r="V6" s="51">
        <v>30000</v>
      </c>
      <c r="W6" s="575"/>
    </row>
    <row r="7" spans="1:23" s="14" customFormat="1" ht="12.75">
      <c r="A7" s="571" t="s">
        <v>150</v>
      </c>
      <c r="B7" s="572">
        <f>VegCurrent!AD19</f>
        <v>0.07251411222249386</v>
      </c>
      <c r="C7" s="184">
        <f>B7/B4</f>
        <v>0.5070189436075456</v>
      </c>
      <c r="D7" s="51">
        <v>27500</v>
      </c>
      <c r="E7" s="51">
        <v>21000</v>
      </c>
      <c r="I7" s="17">
        <f>SUM(D7:H7)/2</f>
        <v>24250</v>
      </c>
      <c r="J7" s="17"/>
      <c r="K7" s="17"/>
      <c r="L7" s="17"/>
      <c r="M7" s="17">
        <f>SUM(M8:M10)/3</f>
        <v>7053.333333333333</v>
      </c>
      <c r="N7" s="17">
        <f>SUM(N8:N10)/3</f>
        <v>18373.333333333332</v>
      </c>
      <c r="O7" s="76">
        <f>(O36+O9)/2</f>
        <v>15000</v>
      </c>
      <c r="P7" s="155">
        <v>25875</v>
      </c>
      <c r="Q7" s="17"/>
      <c r="R7" s="17"/>
      <c r="S7" s="17"/>
      <c r="T7" s="17"/>
      <c r="U7" s="17"/>
      <c r="W7" s="575"/>
    </row>
    <row r="8" spans="1:23" s="62" customFormat="1" ht="12.75">
      <c r="A8" s="576" t="s">
        <v>821</v>
      </c>
      <c r="B8" s="577"/>
      <c r="C8" s="578"/>
      <c r="D8" s="579"/>
      <c r="E8" s="579"/>
      <c r="I8" s="580"/>
      <c r="J8" s="580"/>
      <c r="K8" s="580"/>
      <c r="L8" s="580"/>
      <c r="W8" s="581"/>
    </row>
    <row r="9" spans="1:23" s="62" customFormat="1" ht="12.75">
      <c r="A9" s="576" t="s">
        <v>822</v>
      </c>
      <c r="B9" s="582"/>
      <c r="C9" s="184"/>
      <c r="D9" s="579"/>
      <c r="E9" s="579"/>
      <c r="I9" s="580"/>
      <c r="J9" s="580"/>
      <c r="K9" s="580"/>
      <c r="L9" s="580"/>
      <c r="M9" s="583">
        <v>10080</v>
      </c>
      <c r="N9" s="583">
        <v>23520</v>
      </c>
      <c r="O9" s="584">
        <v>15000</v>
      </c>
      <c r="P9" s="585"/>
      <c r="Q9" s="78"/>
      <c r="R9" s="78"/>
      <c r="S9" s="78"/>
      <c r="T9" s="78"/>
      <c r="U9" s="78"/>
      <c r="V9" s="579">
        <v>24000</v>
      </c>
      <c r="W9" s="581"/>
    </row>
    <row r="10" spans="1:23" s="62" customFormat="1" ht="12.75">
      <c r="A10" s="576" t="s">
        <v>151</v>
      </c>
      <c r="B10" s="586"/>
      <c r="D10" s="579"/>
      <c r="E10" s="579"/>
      <c r="I10" s="580"/>
      <c r="J10" s="580"/>
      <c r="K10" s="580"/>
      <c r="L10" s="580"/>
      <c r="M10" s="587">
        <v>11080</v>
      </c>
      <c r="N10" s="587">
        <v>31600</v>
      </c>
      <c r="O10" s="588"/>
      <c r="P10" s="585"/>
      <c r="Q10" s="78"/>
      <c r="R10" s="78"/>
      <c r="S10" s="78"/>
      <c r="T10" s="78"/>
      <c r="U10" s="78"/>
      <c r="V10" s="579">
        <v>36000</v>
      </c>
      <c r="W10" s="581"/>
    </row>
    <row r="11" spans="1:23" s="14" customFormat="1" ht="12.75">
      <c r="A11" s="571" t="s">
        <v>83</v>
      </c>
      <c r="B11" s="572">
        <f>VegCurrent!AD25</f>
        <v>0.02010347917659306</v>
      </c>
      <c r="C11" s="184">
        <f>B11/B4</f>
        <v>0.14056360151908037</v>
      </c>
      <c r="F11" s="51">
        <v>8000</v>
      </c>
      <c r="G11" s="51">
        <v>8000</v>
      </c>
      <c r="I11" s="17">
        <f>SUM(D11:H11)/2</f>
        <v>8000</v>
      </c>
      <c r="J11" s="17"/>
      <c r="K11" s="17"/>
      <c r="L11" s="17"/>
      <c r="M11" s="17">
        <v>1767</v>
      </c>
      <c r="N11" s="17">
        <v>15540</v>
      </c>
      <c r="O11" s="78">
        <v>8700</v>
      </c>
      <c r="P11" s="574">
        <v>10350</v>
      </c>
      <c r="Q11" s="222">
        <v>12500</v>
      </c>
      <c r="R11" s="222">
        <v>3</v>
      </c>
      <c r="S11" s="222">
        <v>21780</v>
      </c>
      <c r="T11" s="222"/>
      <c r="U11" s="222"/>
      <c r="V11" s="164">
        <v>12000</v>
      </c>
      <c r="W11" s="575"/>
    </row>
    <row r="12" spans="1:23" s="489" customFormat="1" ht="15" customHeight="1" hidden="1">
      <c r="A12" s="589" t="s">
        <v>152</v>
      </c>
      <c r="B12" s="590"/>
      <c r="C12" s="591"/>
      <c r="D12" s="591"/>
      <c r="E12" s="591"/>
      <c r="F12" s="591"/>
      <c r="G12" s="591"/>
      <c r="H12" s="591"/>
      <c r="I12" s="591" t="s">
        <v>153</v>
      </c>
      <c r="J12" s="591"/>
      <c r="K12" s="592"/>
      <c r="L12" s="592"/>
      <c r="M12" s="592"/>
      <c r="N12" s="592"/>
      <c r="O12" s="591"/>
      <c r="P12" s="592">
        <v>20700</v>
      </c>
      <c r="Q12" s="592"/>
      <c r="R12" s="592"/>
      <c r="S12" s="592"/>
      <c r="T12" s="592"/>
      <c r="U12" s="592"/>
      <c r="V12" s="591"/>
      <c r="W12" s="593"/>
    </row>
    <row r="13" spans="1:23" s="489" customFormat="1" ht="15.75" customHeight="1" hidden="1">
      <c r="A13" s="589" t="s">
        <v>89</v>
      </c>
      <c r="B13" s="590">
        <f>VegCurrent!AD15</f>
        <v>0.002382304180632964</v>
      </c>
      <c r="C13" s="591"/>
      <c r="D13" s="591"/>
      <c r="E13" s="591"/>
      <c r="F13" s="591"/>
      <c r="G13" s="591"/>
      <c r="H13" s="591"/>
      <c r="I13" s="594"/>
      <c r="J13" s="594"/>
      <c r="K13" s="592"/>
      <c r="L13" s="592"/>
      <c r="M13" s="592"/>
      <c r="N13" s="592"/>
      <c r="O13" s="591"/>
      <c r="P13" s="592">
        <v>10350</v>
      </c>
      <c r="Q13" s="592">
        <v>16275</v>
      </c>
      <c r="R13" s="592"/>
      <c r="S13" s="592"/>
      <c r="T13" s="592"/>
      <c r="U13" s="592"/>
      <c r="V13" s="595">
        <v>12000</v>
      </c>
      <c r="W13" s="593"/>
    </row>
    <row r="14" spans="1:23" s="489" customFormat="1" ht="16.5" customHeight="1" hidden="1">
      <c r="A14" s="589" t="s">
        <v>154</v>
      </c>
      <c r="B14" s="590"/>
      <c r="C14" s="591"/>
      <c r="D14" s="591"/>
      <c r="E14" s="591"/>
      <c r="F14" s="595"/>
      <c r="G14" s="595"/>
      <c r="H14" s="591"/>
      <c r="I14" s="592"/>
      <c r="J14" s="592"/>
      <c r="K14" s="592"/>
      <c r="L14" s="592"/>
      <c r="M14" s="592"/>
      <c r="N14" s="592"/>
      <c r="O14" s="592"/>
      <c r="P14" s="592">
        <v>10350</v>
      </c>
      <c r="Q14" s="592"/>
      <c r="R14" s="592"/>
      <c r="S14" s="592"/>
      <c r="T14" s="592"/>
      <c r="U14" s="592"/>
      <c r="V14" s="591"/>
      <c r="W14" s="593"/>
    </row>
    <row r="15" spans="1:23" s="489" customFormat="1" ht="23.25" customHeight="1" hidden="1">
      <c r="A15" s="589" t="s">
        <v>90</v>
      </c>
      <c r="B15" s="596">
        <f>VegCurrent!AD21</f>
        <v>0.0007376941972020819</v>
      </c>
      <c r="C15" s="591"/>
      <c r="D15" s="591"/>
      <c r="E15" s="591"/>
      <c r="F15" s="595"/>
      <c r="G15" s="595"/>
      <c r="H15" s="591"/>
      <c r="I15" s="592"/>
      <c r="J15" s="592"/>
      <c r="K15" s="592"/>
      <c r="L15" s="592"/>
      <c r="M15" s="592"/>
      <c r="N15" s="592"/>
      <c r="O15" s="591"/>
      <c r="P15" s="592">
        <v>12420</v>
      </c>
      <c r="Q15" s="592">
        <v>16275</v>
      </c>
      <c r="R15" s="592"/>
      <c r="S15" s="592"/>
      <c r="T15" s="592"/>
      <c r="U15" s="592"/>
      <c r="V15" s="595">
        <v>12000</v>
      </c>
      <c r="W15" s="593"/>
    </row>
    <row r="16" spans="1:23" s="605" customFormat="1" ht="13.5" thickBot="1">
      <c r="A16" s="597"/>
      <c r="B16" s="598"/>
      <c r="C16" s="599"/>
      <c r="D16" s="599"/>
      <c r="E16" s="599"/>
      <c r="F16" s="600"/>
      <c r="G16" s="600"/>
      <c r="H16" s="599"/>
      <c r="I16" s="601"/>
      <c r="J16" s="601"/>
      <c r="K16" s="601"/>
      <c r="L16" s="601"/>
      <c r="M16" s="601"/>
      <c r="N16" s="601"/>
      <c r="O16" s="602"/>
      <c r="P16" s="603"/>
      <c r="Q16" s="601"/>
      <c r="R16" s="601"/>
      <c r="S16" s="601"/>
      <c r="T16" s="601"/>
      <c r="U16" s="601"/>
      <c r="V16" s="599"/>
      <c r="W16" s="604"/>
    </row>
    <row r="17" spans="1:23" s="611" customFormat="1" ht="13.5" thickBot="1">
      <c r="A17" s="606" t="s">
        <v>823</v>
      </c>
      <c r="B17" s="607">
        <f>VegCurrent!AD31</f>
        <v>0.26043555417412134</v>
      </c>
      <c r="C17" s="608"/>
      <c r="D17" s="608"/>
      <c r="E17" s="608"/>
      <c r="F17" s="608"/>
      <c r="G17" s="608"/>
      <c r="H17" s="608"/>
      <c r="I17" s="608">
        <f>SUM(I18:I20)/3</f>
        <v>18566.666666666668</v>
      </c>
      <c r="J17" s="608"/>
      <c r="K17" s="608">
        <v>20480</v>
      </c>
      <c r="L17" s="609">
        <f>(K17-I17)/I17</f>
        <v>0.10305206463195685</v>
      </c>
      <c r="M17" s="608">
        <f>SUM(M18:M20)/3</f>
        <v>10553.333333333334</v>
      </c>
      <c r="N17" s="608">
        <f>(N18+N20)/2</f>
        <v>50360</v>
      </c>
      <c r="O17" s="608">
        <f>(O18+O20)/2</f>
        <v>26600</v>
      </c>
      <c r="P17" s="608">
        <f>SUM(P18:P20)/2</f>
        <v>26599.5</v>
      </c>
      <c r="Q17" s="608"/>
      <c r="R17" s="608"/>
      <c r="S17" s="608"/>
      <c r="T17" s="608"/>
      <c r="U17" s="608"/>
      <c r="V17" s="608"/>
      <c r="W17" s="610">
        <v>24000</v>
      </c>
    </row>
    <row r="18" spans="1:23" ht="12.75">
      <c r="A18" s="571" t="s">
        <v>80</v>
      </c>
      <c r="B18" s="84">
        <f>VegCurrent!AD38</f>
        <v>0.046894153925987225</v>
      </c>
      <c r="C18" s="184">
        <f>B18/B17</f>
        <v>0.18006049164329863</v>
      </c>
      <c r="D18" s="51">
        <v>30000</v>
      </c>
      <c r="E18" s="51">
        <v>30000</v>
      </c>
      <c r="I18" s="17">
        <f>SUM(D18:H18)/2</f>
        <v>30000</v>
      </c>
      <c r="J18" s="17"/>
      <c r="M18" s="37">
        <v>10340</v>
      </c>
      <c r="N18" s="78">
        <v>35520</v>
      </c>
      <c r="O18" s="78">
        <v>30000</v>
      </c>
      <c r="P18" s="574">
        <v>21735</v>
      </c>
      <c r="Q18" s="78">
        <v>30000</v>
      </c>
      <c r="R18" s="78">
        <v>3</v>
      </c>
      <c r="S18" s="37">
        <v>21780</v>
      </c>
      <c r="T18" s="37"/>
      <c r="U18" s="78"/>
      <c r="V18" s="164">
        <v>26000</v>
      </c>
      <c r="W18" s="575"/>
    </row>
    <row r="19" spans="1:23" ht="12.75">
      <c r="A19" s="571" t="s">
        <v>155</v>
      </c>
      <c r="C19" s="184"/>
      <c r="F19" s="51">
        <v>22000</v>
      </c>
      <c r="G19" s="51">
        <v>16000</v>
      </c>
      <c r="H19" s="51">
        <v>17000</v>
      </c>
      <c r="I19" s="17">
        <f>SUM(D19:H19)/5</f>
        <v>11000</v>
      </c>
      <c r="J19" s="17"/>
      <c r="M19" s="37">
        <v>10760</v>
      </c>
      <c r="N19" s="37" t="s">
        <v>88</v>
      </c>
      <c r="P19" s="574">
        <v>8280</v>
      </c>
      <c r="Q19" s="78">
        <v>40000</v>
      </c>
      <c r="R19" s="78">
        <v>1</v>
      </c>
      <c r="S19" s="78">
        <v>7260</v>
      </c>
      <c r="T19" s="78"/>
      <c r="U19" s="78"/>
      <c r="V19" s="164">
        <v>30000</v>
      </c>
      <c r="W19" s="575"/>
    </row>
    <row r="20" spans="1:23" ht="12.75">
      <c r="A20" s="571" t="s">
        <v>84</v>
      </c>
      <c r="B20" s="84">
        <f>VegCurrent!AD46</f>
        <v>0.18200477360363032</v>
      </c>
      <c r="C20" s="184">
        <f>B20/B17</f>
        <v>0.698847644595968</v>
      </c>
      <c r="D20" s="51">
        <v>14000</v>
      </c>
      <c r="E20" s="51">
        <v>11500</v>
      </c>
      <c r="F20" s="51">
        <v>18000</v>
      </c>
      <c r="G20" s="51">
        <v>16000</v>
      </c>
      <c r="H20" s="51">
        <v>14000</v>
      </c>
      <c r="I20" s="17">
        <f>SUM(D20:H20)/5</f>
        <v>14700</v>
      </c>
      <c r="J20" s="17"/>
      <c r="M20" s="78">
        <v>10560</v>
      </c>
      <c r="N20" s="37">
        <v>65200</v>
      </c>
      <c r="O20" s="78">
        <v>23200</v>
      </c>
      <c r="P20" s="574">
        <v>23184</v>
      </c>
      <c r="Q20" s="78"/>
      <c r="R20" s="612">
        <v>1</v>
      </c>
      <c r="S20" s="612">
        <v>7260</v>
      </c>
      <c r="T20" s="612">
        <v>150</v>
      </c>
      <c r="U20" s="78">
        <f>(S20*T20)/100</f>
        <v>10890</v>
      </c>
      <c r="V20" s="164">
        <v>30000</v>
      </c>
      <c r="W20" s="575"/>
    </row>
    <row r="21" spans="1:23" s="489" customFormat="1" ht="12.75" hidden="1">
      <c r="A21" s="589" t="s">
        <v>156</v>
      </c>
      <c r="B21" s="596">
        <f>VegCurrent!AD40</f>
        <v>0.0003961525385831396</v>
      </c>
      <c r="C21" s="595"/>
      <c r="D21" s="595"/>
      <c r="E21" s="595"/>
      <c r="F21" s="595"/>
      <c r="G21" s="595"/>
      <c r="H21" s="595"/>
      <c r="I21" s="592"/>
      <c r="J21" s="592"/>
      <c r="K21" s="592"/>
      <c r="L21" s="592"/>
      <c r="M21" s="592"/>
      <c r="N21" s="592"/>
      <c r="O21" s="592"/>
      <c r="P21" s="592"/>
      <c r="Q21" s="592">
        <v>40000</v>
      </c>
      <c r="R21" s="592"/>
      <c r="S21" s="592"/>
      <c r="T21" s="592"/>
      <c r="U21" s="592"/>
      <c r="V21" s="595">
        <v>40000</v>
      </c>
      <c r="W21" s="593"/>
    </row>
    <row r="22" spans="1:23" s="489" customFormat="1" ht="3.75" customHeight="1" hidden="1">
      <c r="A22" s="589" t="s">
        <v>91</v>
      </c>
      <c r="B22" s="596">
        <f>VegCurrent!AD42</f>
        <v>0.009384495173027207</v>
      </c>
      <c r="C22" s="595"/>
      <c r="D22" s="591"/>
      <c r="E22" s="591"/>
      <c r="F22" s="595"/>
      <c r="G22" s="595"/>
      <c r="H22" s="595"/>
      <c r="I22" s="591" t="s">
        <v>153</v>
      </c>
      <c r="J22" s="591"/>
      <c r="K22" s="592"/>
      <c r="L22" s="592"/>
      <c r="M22" s="592"/>
      <c r="N22" s="592"/>
      <c r="O22" s="591"/>
      <c r="P22" s="592">
        <v>12317</v>
      </c>
      <c r="Q22" s="592"/>
      <c r="R22" s="592"/>
      <c r="S22" s="592"/>
      <c r="T22" s="592"/>
      <c r="U22" s="592"/>
      <c r="V22" s="595">
        <v>15000</v>
      </c>
      <c r="W22" s="593"/>
    </row>
    <row r="23" spans="1:23" s="605" customFormat="1" ht="13.5" thickBot="1">
      <c r="A23" s="597"/>
      <c r="B23" s="598"/>
      <c r="C23" s="600"/>
      <c r="D23" s="599"/>
      <c r="E23" s="599"/>
      <c r="F23" s="600"/>
      <c r="G23" s="600"/>
      <c r="H23" s="600"/>
      <c r="I23" s="601"/>
      <c r="J23" s="601"/>
      <c r="K23" s="601"/>
      <c r="L23" s="601"/>
      <c r="M23" s="601"/>
      <c r="N23" s="601"/>
      <c r="O23" s="602"/>
      <c r="P23" s="603"/>
      <c r="Q23" s="601"/>
      <c r="R23" s="601"/>
      <c r="S23" s="601"/>
      <c r="T23" s="601"/>
      <c r="U23" s="601"/>
      <c r="V23" s="599"/>
      <c r="W23" s="604"/>
    </row>
    <row r="24" spans="1:23" s="285" customFormat="1" ht="13.5" thickBot="1">
      <c r="A24" s="613" t="s">
        <v>74</v>
      </c>
      <c r="B24" s="614">
        <f>VegCurrent!AD48</f>
        <v>0.6798823596963234</v>
      </c>
      <c r="C24" s="615"/>
      <c r="D24" s="615"/>
      <c r="E24" s="615"/>
      <c r="F24" s="615"/>
      <c r="G24" s="615"/>
      <c r="H24" s="615"/>
      <c r="I24" s="616">
        <f>SUM(I25:I27)/4</f>
        <v>10130</v>
      </c>
      <c r="J24" s="616"/>
      <c r="K24" s="617">
        <v>17393</v>
      </c>
      <c r="L24" s="618">
        <f>(K24-I24)/I24</f>
        <v>0.7169792694965449</v>
      </c>
      <c r="M24" s="617">
        <f>SUM(M25:M27)/3</f>
        <v>12506.666666666666</v>
      </c>
      <c r="N24" s="617">
        <f>(N26+N27)/2</f>
        <v>26610</v>
      </c>
      <c r="O24" s="616">
        <f>O26</f>
        <v>7500</v>
      </c>
      <c r="P24" s="617">
        <f>SUM(P25:P27)/3</f>
        <v>6596.333333333333</v>
      </c>
      <c r="Q24" s="617"/>
      <c r="R24" s="617"/>
      <c r="S24" s="617"/>
      <c r="T24" s="617"/>
      <c r="U24" s="617"/>
      <c r="V24" s="615"/>
      <c r="W24" s="619">
        <v>24000</v>
      </c>
    </row>
    <row r="25" spans="1:23" ht="12.75">
      <c r="A25" s="571" t="s">
        <v>157</v>
      </c>
      <c r="B25" s="84">
        <f>VegCurrent!AD57</f>
        <v>0.012741519993113121</v>
      </c>
      <c r="C25" s="184">
        <f>B25/B24</f>
        <v>0.01874077156348674</v>
      </c>
      <c r="D25" s="51">
        <v>4400</v>
      </c>
      <c r="E25" s="51">
        <v>4260</v>
      </c>
      <c r="F25" s="51">
        <v>4020</v>
      </c>
      <c r="G25" s="51">
        <v>4540</v>
      </c>
      <c r="H25" s="51">
        <v>2880</v>
      </c>
      <c r="I25" s="17">
        <f>SUM(D25:H25)/5</f>
        <v>4020</v>
      </c>
      <c r="J25" s="17"/>
      <c r="M25" s="17">
        <v>2180</v>
      </c>
      <c r="N25" s="17" t="s">
        <v>88</v>
      </c>
      <c r="P25" s="574">
        <v>10350</v>
      </c>
      <c r="Q25" s="78">
        <v>4000</v>
      </c>
      <c r="R25" s="78"/>
      <c r="S25" s="78"/>
      <c r="T25" s="78"/>
      <c r="U25" s="78"/>
      <c r="V25" s="164">
        <v>9000</v>
      </c>
      <c r="W25" s="575"/>
    </row>
    <row r="26" spans="1:23" ht="12.75">
      <c r="A26" s="571" t="s">
        <v>82</v>
      </c>
      <c r="B26" s="84">
        <f>VegCurrent!AD68</f>
        <v>0.6164043868233058</v>
      </c>
      <c r="C26" s="184">
        <f>B26/B24</f>
        <v>0.9066338875134653</v>
      </c>
      <c r="D26" s="51">
        <v>27000</v>
      </c>
      <c r="E26" s="51">
        <v>26500</v>
      </c>
      <c r="F26" s="51">
        <v>28000</v>
      </c>
      <c r="G26" s="51">
        <v>25500</v>
      </c>
      <c r="H26" s="51">
        <v>25000</v>
      </c>
      <c r="I26" s="17">
        <f>SUM(D26:H26)/5</f>
        <v>26400</v>
      </c>
      <c r="J26" s="17"/>
      <c r="M26" s="17">
        <v>28240</v>
      </c>
      <c r="N26" s="17">
        <v>38740</v>
      </c>
      <c r="O26" s="78">
        <v>7500</v>
      </c>
      <c r="P26" s="574">
        <v>8694</v>
      </c>
      <c r="Q26" s="37"/>
      <c r="R26" s="37">
        <v>2</v>
      </c>
      <c r="S26" s="37"/>
      <c r="T26" s="37"/>
      <c r="U26" s="37"/>
      <c r="V26" s="164">
        <v>25000</v>
      </c>
      <c r="W26" s="575"/>
    </row>
    <row r="27" spans="1:23" ht="12.75">
      <c r="A27" s="571" t="s">
        <v>158</v>
      </c>
      <c r="B27" s="84">
        <f>VegCurrent!AD53</f>
        <v>0.0492514431298611</v>
      </c>
      <c r="C27" s="184">
        <f>B27/B24</f>
        <v>0.07244112518503903</v>
      </c>
      <c r="D27" s="51">
        <v>9000</v>
      </c>
      <c r="E27" s="51">
        <v>9500</v>
      </c>
      <c r="F27" s="51">
        <v>9500</v>
      </c>
      <c r="G27" s="51">
        <v>11500</v>
      </c>
      <c r="H27" s="51">
        <v>11000</v>
      </c>
      <c r="I27" s="17">
        <f>SUM(D27:H27)/5</f>
        <v>10100</v>
      </c>
      <c r="J27" s="17"/>
      <c r="M27" s="17">
        <v>7100</v>
      </c>
      <c r="N27" s="17">
        <v>14480</v>
      </c>
      <c r="P27" s="574">
        <v>745</v>
      </c>
      <c r="Q27" s="78" t="s">
        <v>159</v>
      </c>
      <c r="R27" s="78">
        <v>2</v>
      </c>
      <c r="S27" s="78"/>
      <c r="T27" s="78"/>
      <c r="U27" s="78"/>
      <c r="V27" s="164" t="s">
        <v>160</v>
      </c>
      <c r="W27" s="575"/>
    </row>
    <row r="28" spans="3:23" ht="13.5" thickBot="1">
      <c r="C28" s="51"/>
      <c r="D28" s="51"/>
      <c r="E28" s="51"/>
      <c r="F28" s="51"/>
      <c r="G28" s="51"/>
      <c r="H28" s="51"/>
      <c r="I28" s="17"/>
      <c r="J28" s="17"/>
      <c r="Q28" s="37"/>
      <c r="R28" s="37"/>
      <c r="S28" s="37"/>
      <c r="T28" s="37"/>
      <c r="U28" s="37"/>
      <c r="V28" s="19"/>
      <c r="W28" s="621"/>
    </row>
    <row r="29" spans="1:23" s="285" customFormat="1" ht="13.5" thickBot="1">
      <c r="A29" s="622" t="s">
        <v>75</v>
      </c>
      <c r="B29" s="623">
        <f>VegCurrent!AD70</f>
        <v>0.44820096808455784</v>
      </c>
      <c r="C29" s="624"/>
      <c r="D29" s="624"/>
      <c r="E29" s="624"/>
      <c r="F29" s="624"/>
      <c r="G29" s="624"/>
      <c r="H29" s="624"/>
      <c r="I29" s="625">
        <f>AVERAGE(I30:I39)</f>
        <v>22389.375</v>
      </c>
      <c r="J29" s="625"/>
      <c r="K29" s="626">
        <v>18672</v>
      </c>
      <c r="L29" s="627">
        <f>(K29-I29)/I29</f>
        <v>-0.16603299556151077</v>
      </c>
      <c r="M29" s="625">
        <f>AVERAGE(M30:M39)</f>
        <v>11383.333333333334</v>
      </c>
      <c r="N29" s="626">
        <f>SUM(N30:N39)/6</f>
        <v>29465.333333333332</v>
      </c>
      <c r="O29" s="625">
        <f>AVERAGE(O30:O39)</f>
        <v>22500</v>
      </c>
      <c r="P29" s="625">
        <f>AVERAGE(P30:P39)</f>
        <v>17332.11111111111</v>
      </c>
      <c r="Q29" s="625"/>
      <c r="R29" s="626"/>
      <c r="S29" s="626"/>
      <c r="T29" s="626"/>
      <c r="U29" s="625"/>
      <c r="V29" s="625"/>
      <c r="W29" s="628">
        <v>28000</v>
      </c>
    </row>
    <row r="30" spans="1:23" ht="12.75">
      <c r="A30" s="571" t="s">
        <v>161</v>
      </c>
      <c r="D30" s="51">
        <v>24000</v>
      </c>
      <c r="E30" s="51">
        <v>30740</v>
      </c>
      <c r="F30" s="51">
        <v>26760</v>
      </c>
      <c r="G30" s="51">
        <v>30800</v>
      </c>
      <c r="H30" s="14" t="s">
        <v>88</v>
      </c>
      <c r="I30" s="17">
        <v>28075</v>
      </c>
      <c r="J30" s="17"/>
      <c r="M30" s="17">
        <v>9420</v>
      </c>
      <c r="N30" s="17" t="s">
        <v>88</v>
      </c>
      <c r="P30" s="574">
        <v>21735</v>
      </c>
      <c r="Q30" s="78">
        <v>14000</v>
      </c>
      <c r="R30" s="78">
        <v>3</v>
      </c>
      <c r="S30" s="37">
        <v>21780</v>
      </c>
      <c r="T30" s="37">
        <v>100</v>
      </c>
      <c r="U30" s="222">
        <f>(S30*T30)/100</f>
        <v>21780</v>
      </c>
      <c r="V30" s="164">
        <v>24000</v>
      </c>
      <c r="W30" s="575"/>
    </row>
    <row r="31" spans="1:23" ht="12.75">
      <c r="A31" s="571" t="s">
        <v>162</v>
      </c>
      <c r="B31" s="84">
        <f>VegCurrent!AD106</f>
        <v>0.029301910448755446</v>
      </c>
      <c r="C31" s="184">
        <f>B31/B29</f>
        <v>0.06537672279910679</v>
      </c>
      <c r="F31" s="51">
        <v>21000</v>
      </c>
      <c r="G31" s="51">
        <v>23000</v>
      </c>
      <c r="I31" s="17">
        <v>22000</v>
      </c>
      <c r="J31" s="17"/>
      <c r="M31" s="17">
        <v>13860</v>
      </c>
      <c r="N31" s="17">
        <v>28920</v>
      </c>
      <c r="O31" s="78">
        <v>20000</v>
      </c>
      <c r="P31" s="574">
        <v>15525</v>
      </c>
      <c r="Q31" s="78"/>
      <c r="R31" s="78">
        <v>2</v>
      </c>
      <c r="S31" s="78">
        <v>14520</v>
      </c>
      <c r="T31" s="78">
        <v>50</v>
      </c>
      <c r="U31" s="222">
        <f>(S31*T31)/100</f>
        <v>7260</v>
      </c>
      <c r="V31" s="164">
        <v>20000</v>
      </c>
      <c r="W31" s="575"/>
    </row>
    <row r="32" spans="1:23" ht="17.25" customHeight="1">
      <c r="A32" s="571" t="s">
        <v>79</v>
      </c>
      <c r="B32" s="84">
        <f>VegCurrent!AD81</f>
        <v>0.05099504511663814</v>
      </c>
      <c r="C32" s="184">
        <f>B32/B29</f>
        <v>0.11377718645850267</v>
      </c>
      <c r="D32" s="51">
        <v>38000</v>
      </c>
      <c r="E32" s="51">
        <v>41000</v>
      </c>
      <c r="F32" s="51">
        <v>44000</v>
      </c>
      <c r="G32" s="51">
        <v>40000</v>
      </c>
      <c r="H32" s="51">
        <v>35000</v>
      </c>
      <c r="I32" s="17">
        <f>SUM(D32:H32)/5</f>
        <v>39600</v>
      </c>
      <c r="J32" s="17"/>
      <c r="M32" s="17">
        <v>19560</v>
      </c>
      <c r="N32" s="17">
        <v>34580</v>
      </c>
      <c r="O32" s="78">
        <v>25000</v>
      </c>
      <c r="P32" s="574">
        <v>20286</v>
      </c>
      <c r="Q32" s="78">
        <v>31500</v>
      </c>
      <c r="R32" s="78">
        <v>2</v>
      </c>
      <c r="S32" s="78">
        <v>14520</v>
      </c>
      <c r="T32" s="78">
        <v>150</v>
      </c>
      <c r="U32" s="222">
        <f>(S32*T32)/100</f>
        <v>21780</v>
      </c>
      <c r="V32" s="164">
        <v>30000</v>
      </c>
      <c r="W32" s="575"/>
    </row>
    <row r="33" spans="1:23" ht="12.75">
      <c r="A33" s="571" t="s">
        <v>92</v>
      </c>
      <c r="B33" s="84">
        <f>VegCurrent!AD85</f>
        <v>0.005985314444331818</v>
      </c>
      <c r="C33" s="184">
        <f>B33/B29</f>
        <v>0.013354086382077215</v>
      </c>
      <c r="D33" s="51">
        <v>19500</v>
      </c>
      <c r="E33" s="51">
        <v>15000</v>
      </c>
      <c r="F33" s="51">
        <v>12000</v>
      </c>
      <c r="G33" s="51">
        <v>14000</v>
      </c>
      <c r="H33" s="51">
        <v>10000</v>
      </c>
      <c r="I33" s="17">
        <v>14100</v>
      </c>
      <c r="J33" s="17"/>
      <c r="P33" s="155">
        <v>5796</v>
      </c>
      <c r="Q33" s="37">
        <v>12000</v>
      </c>
      <c r="R33" s="37">
        <v>2</v>
      </c>
      <c r="S33" s="78">
        <v>14520</v>
      </c>
      <c r="T33" s="37">
        <v>90</v>
      </c>
      <c r="U33" s="222">
        <f>(S33*T33)/100</f>
        <v>13068</v>
      </c>
      <c r="V33" s="164">
        <v>14000</v>
      </c>
      <c r="W33" s="575"/>
    </row>
    <row r="34" spans="1:23" ht="12.75">
      <c r="A34" s="571" t="s">
        <v>94</v>
      </c>
      <c r="B34" s="84">
        <f>VegCurrent!AD93</f>
        <v>0.03451890949915886</v>
      </c>
      <c r="C34" s="184">
        <f>B34/B29</f>
        <v>0.07701658844397342</v>
      </c>
      <c r="D34" s="51">
        <v>20000</v>
      </c>
      <c r="E34" s="51">
        <v>18000</v>
      </c>
      <c r="F34" s="51">
        <v>21000</v>
      </c>
      <c r="G34" s="51">
        <v>17000</v>
      </c>
      <c r="H34" s="51">
        <v>18000</v>
      </c>
      <c r="I34" s="17">
        <f>SUM(D34:H34)/5</f>
        <v>18800</v>
      </c>
      <c r="J34" s="17"/>
      <c r="M34" s="17">
        <v>10200</v>
      </c>
      <c r="N34" s="17">
        <v>13260</v>
      </c>
      <c r="P34" s="574">
        <v>15560</v>
      </c>
      <c r="Q34" s="78">
        <v>17500</v>
      </c>
      <c r="R34" s="78">
        <v>1</v>
      </c>
      <c r="S34" s="78">
        <v>7260</v>
      </c>
      <c r="T34" s="78"/>
      <c r="U34" s="78"/>
      <c r="V34" s="164">
        <v>20000</v>
      </c>
      <c r="W34" s="575"/>
    </row>
    <row r="35" spans="1:23" ht="12.75">
      <c r="A35" s="571" t="s">
        <v>81</v>
      </c>
      <c r="B35" s="84">
        <f>VegCurrent!AD95</f>
        <v>0.0049982281454437295</v>
      </c>
      <c r="C35" s="184">
        <f>B35/B29</f>
        <v>0.0111517566925486</v>
      </c>
      <c r="F35" s="51">
        <v>18000</v>
      </c>
      <c r="G35" s="51">
        <v>23000</v>
      </c>
      <c r="I35" s="17">
        <f>SUM(D35:H35)/2</f>
        <v>20500</v>
      </c>
      <c r="J35" s="17"/>
      <c r="M35" s="17">
        <v>13960</v>
      </c>
      <c r="N35" s="17" t="s">
        <v>88</v>
      </c>
      <c r="P35" s="574">
        <v>15504</v>
      </c>
      <c r="Q35" s="78"/>
      <c r="R35" s="78">
        <v>2</v>
      </c>
      <c r="S35" s="78">
        <v>14520</v>
      </c>
      <c r="T35" s="78">
        <v>75</v>
      </c>
      <c r="U35" s="222">
        <f>(S35*T35)/100</f>
        <v>10890</v>
      </c>
      <c r="V35" s="164">
        <v>20000</v>
      </c>
      <c r="W35" s="575"/>
    </row>
    <row r="36" spans="1:23" ht="12.75">
      <c r="A36" s="571" t="s">
        <v>824</v>
      </c>
      <c r="B36" s="84">
        <f>VegCurrent!AD102</f>
        <v>0.10071258536239965</v>
      </c>
      <c r="C36" s="184"/>
      <c r="F36" s="51"/>
      <c r="G36" s="51"/>
      <c r="I36" s="17"/>
      <c r="J36" s="17"/>
      <c r="M36" s="583">
        <v>9650</v>
      </c>
      <c r="N36" s="583">
        <v>35880</v>
      </c>
      <c r="O36" s="584">
        <v>15000</v>
      </c>
      <c r="P36" s="574"/>
      <c r="Q36" s="222">
        <v>27000</v>
      </c>
      <c r="R36" s="17">
        <v>3</v>
      </c>
      <c r="S36" s="17">
        <v>21780</v>
      </c>
      <c r="T36" s="17">
        <v>50</v>
      </c>
      <c r="U36" s="222">
        <f>(S36*T36)/100</f>
        <v>10890</v>
      </c>
      <c r="V36" s="62"/>
      <c r="W36" s="575"/>
    </row>
    <row r="37" spans="1:23" ht="12.75">
      <c r="A37" s="571" t="s">
        <v>95</v>
      </c>
      <c r="B37" s="84">
        <f>VegCurrent!AD116</f>
        <v>0.06949516123881438</v>
      </c>
      <c r="C37" s="184">
        <f>B37/B29</f>
        <v>0.15505357236467054</v>
      </c>
      <c r="D37" s="51">
        <v>30000</v>
      </c>
      <c r="E37" s="51">
        <v>28000</v>
      </c>
      <c r="F37" s="51">
        <v>38000</v>
      </c>
      <c r="G37" s="51">
        <v>33000</v>
      </c>
      <c r="H37" s="51">
        <v>21000</v>
      </c>
      <c r="I37" s="17">
        <v>30000</v>
      </c>
      <c r="J37" s="17"/>
      <c r="M37" s="17">
        <v>14000</v>
      </c>
      <c r="N37" s="17">
        <v>47560</v>
      </c>
      <c r="P37" s="574">
        <v>18113</v>
      </c>
      <c r="Q37" s="78">
        <v>38500</v>
      </c>
      <c r="R37" s="78">
        <v>3</v>
      </c>
      <c r="S37" s="37">
        <v>21780</v>
      </c>
      <c r="T37" s="37">
        <v>100</v>
      </c>
      <c r="U37" s="222">
        <f>(S37*T37)/100</f>
        <v>21780</v>
      </c>
      <c r="V37" s="164">
        <v>40000</v>
      </c>
      <c r="W37" s="575"/>
    </row>
    <row r="38" spans="1:23" ht="12.75">
      <c r="A38" s="571" t="s">
        <v>825</v>
      </c>
      <c r="B38" s="629">
        <f>VegCurrent!AD100</f>
        <v>0.036322909585467966</v>
      </c>
      <c r="C38" s="184">
        <f>B38/B29</f>
        <v>0.08104156878709656</v>
      </c>
      <c r="D38" s="51">
        <v>6200</v>
      </c>
      <c r="E38" s="51">
        <v>6100</v>
      </c>
      <c r="F38" s="51">
        <v>6800</v>
      </c>
      <c r="G38" s="51">
        <v>5600</v>
      </c>
      <c r="H38" s="51">
        <v>5500</v>
      </c>
      <c r="I38" s="17">
        <v>6040</v>
      </c>
      <c r="J38" s="17"/>
      <c r="M38" s="17">
        <v>3480</v>
      </c>
      <c r="N38" s="17">
        <v>7392</v>
      </c>
      <c r="P38" s="17">
        <v>16560</v>
      </c>
      <c r="Q38" s="78">
        <v>4000</v>
      </c>
      <c r="R38" s="78">
        <v>2</v>
      </c>
      <c r="S38" s="78">
        <v>14520</v>
      </c>
      <c r="T38" s="78"/>
      <c r="U38" s="78"/>
      <c r="V38" s="164">
        <v>8000</v>
      </c>
      <c r="W38" s="575"/>
    </row>
    <row r="39" spans="1:23" ht="12.75">
      <c r="A39" s="571" t="s">
        <v>163</v>
      </c>
      <c r="B39" s="630"/>
      <c r="C39" s="19"/>
      <c r="D39" s="164"/>
      <c r="E39" s="164"/>
      <c r="F39" s="164"/>
      <c r="G39" s="164"/>
      <c r="H39" s="19"/>
      <c r="I39" s="37"/>
      <c r="J39" s="37"/>
      <c r="K39" s="37"/>
      <c r="M39" s="17">
        <v>8320</v>
      </c>
      <c r="N39" s="17">
        <v>9200</v>
      </c>
      <c r="O39" s="78">
        <v>30000</v>
      </c>
      <c r="P39" s="574">
        <v>26910</v>
      </c>
      <c r="Q39" s="78">
        <v>30000</v>
      </c>
      <c r="R39" s="78">
        <v>1</v>
      </c>
      <c r="S39" s="78">
        <v>7260</v>
      </c>
      <c r="T39" s="78"/>
      <c r="U39" s="78"/>
      <c r="V39" s="164">
        <v>30000</v>
      </c>
      <c r="W39" s="575"/>
    </row>
    <row r="40" spans="1:23" s="605" customFormat="1" ht="12.75" hidden="1">
      <c r="A40" s="589" t="s">
        <v>164</v>
      </c>
      <c r="B40" s="631">
        <f>VegCurrent!AD77</f>
        <v>0.0024486107199114438</v>
      </c>
      <c r="C40" s="632"/>
      <c r="D40" s="632"/>
      <c r="E40" s="632"/>
      <c r="F40" s="633"/>
      <c r="G40" s="633"/>
      <c r="H40" s="632"/>
      <c r="I40" s="632" t="s">
        <v>153</v>
      </c>
      <c r="J40" s="632"/>
      <c r="K40" s="634"/>
      <c r="L40" s="634"/>
      <c r="M40" s="634"/>
      <c r="N40" s="634"/>
      <c r="O40" s="632"/>
      <c r="P40" s="634">
        <v>5175</v>
      </c>
      <c r="Q40" s="634">
        <v>16000</v>
      </c>
      <c r="R40" s="634">
        <v>2</v>
      </c>
      <c r="S40" s="634">
        <v>14520</v>
      </c>
      <c r="T40" s="634"/>
      <c r="U40" s="634"/>
      <c r="V40" s="632"/>
      <c r="W40" s="604"/>
    </row>
    <row r="41" spans="1:23" s="605" customFormat="1" ht="12.75" hidden="1">
      <c r="A41" s="589" t="s">
        <v>165</v>
      </c>
      <c r="B41" s="631"/>
      <c r="C41" s="633"/>
      <c r="D41" s="633"/>
      <c r="E41" s="633"/>
      <c r="F41" s="633"/>
      <c r="G41" s="633"/>
      <c r="H41" s="633"/>
      <c r="I41" s="634"/>
      <c r="J41" s="634"/>
      <c r="K41" s="634"/>
      <c r="L41" s="634"/>
      <c r="M41" s="634"/>
      <c r="N41" s="634"/>
      <c r="O41" s="632"/>
      <c r="P41" s="634">
        <v>8984</v>
      </c>
      <c r="Q41" s="634"/>
      <c r="R41" s="634">
        <v>3</v>
      </c>
      <c r="S41" s="634">
        <v>21780</v>
      </c>
      <c r="T41" s="635"/>
      <c r="U41" s="634"/>
      <c r="V41" s="632"/>
      <c r="W41" s="604"/>
    </row>
    <row r="42" spans="1:23" s="605" customFormat="1" ht="12.75" hidden="1">
      <c r="A42" s="589" t="s">
        <v>93</v>
      </c>
      <c r="B42" s="631">
        <f>VegCurrent!AD87</f>
        <v>0.03367967302039678</v>
      </c>
      <c r="C42" s="633"/>
      <c r="D42" s="633"/>
      <c r="E42" s="633"/>
      <c r="F42" s="633"/>
      <c r="G42" s="633"/>
      <c r="H42" s="633"/>
      <c r="I42" s="634"/>
      <c r="J42" s="634"/>
      <c r="K42" s="634"/>
      <c r="L42" s="634"/>
      <c r="M42" s="634"/>
      <c r="N42" s="634"/>
      <c r="O42" s="632"/>
      <c r="P42" s="634">
        <v>8280</v>
      </c>
      <c r="Q42" s="634"/>
      <c r="R42" s="634">
        <v>3</v>
      </c>
      <c r="S42" s="634">
        <v>21780</v>
      </c>
      <c r="T42" s="635"/>
      <c r="U42" s="634"/>
      <c r="V42" s="632"/>
      <c r="W42" s="604"/>
    </row>
    <row r="43" spans="1:23" s="605" customFormat="1" ht="12.75" hidden="1">
      <c r="A43" s="589" t="s">
        <v>166</v>
      </c>
      <c r="B43" s="631">
        <v>0.012710676902505881</v>
      </c>
      <c r="C43" s="633"/>
      <c r="D43" s="633"/>
      <c r="E43" s="633"/>
      <c r="F43" s="633"/>
      <c r="G43" s="633"/>
      <c r="H43" s="633"/>
      <c r="I43" s="634"/>
      <c r="J43" s="634"/>
      <c r="K43" s="634"/>
      <c r="L43" s="634"/>
      <c r="M43" s="634"/>
      <c r="N43" s="634"/>
      <c r="O43" s="632"/>
      <c r="P43" s="634"/>
      <c r="Q43" s="634"/>
      <c r="R43" s="634"/>
      <c r="S43" s="634"/>
      <c r="T43" s="635"/>
      <c r="U43" s="634"/>
      <c r="V43" s="632"/>
      <c r="W43" s="604"/>
    </row>
    <row r="44" spans="1:23" s="605" customFormat="1" ht="12.75" hidden="1">
      <c r="A44" s="589" t="s">
        <v>167</v>
      </c>
      <c r="B44" s="631"/>
      <c r="C44" s="632"/>
      <c r="D44" s="632"/>
      <c r="E44" s="632"/>
      <c r="F44" s="633"/>
      <c r="G44" s="633"/>
      <c r="H44" s="632"/>
      <c r="I44" s="634"/>
      <c r="J44" s="634"/>
      <c r="K44" s="634"/>
      <c r="L44" s="634"/>
      <c r="M44" s="634"/>
      <c r="N44" s="634"/>
      <c r="O44" s="632"/>
      <c r="P44" s="634">
        <v>10868</v>
      </c>
      <c r="Q44" s="634" t="s">
        <v>168</v>
      </c>
      <c r="R44" s="634">
        <v>3</v>
      </c>
      <c r="S44" s="634">
        <v>21780</v>
      </c>
      <c r="T44" s="635"/>
      <c r="U44" s="634"/>
      <c r="V44" s="633">
        <v>16000</v>
      </c>
      <c r="W44" s="604"/>
    </row>
    <row r="45" spans="1:23" s="605" customFormat="1" ht="12.75" hidden="1">
      <c r="A45" s="589" t="s">
        <v>826</v>
      </c>
      <c r="B45" s="631">
        <f>VegCurrent!AD112</f>
        <v>0.002341412085760542</v>
      </c>
      <c r="C45" s="632"/>
      <c r="D45" s="632"/>
      <c r="E45" s="632"/>
      <c r="F45" s="633"/>
      <c r="G45" s="633"/>
      <c r="H45" s="632"/>
      <c r="I45" s="634"/>
      <c r="J45" s="634"/>
      <c r="K45" s="634"/>
      <c r="L45" s="634"/>
      <c r="M45" s="634"/>
      <c r="N45" s="634"/>
      <c r="O45" s="632"/>
      <c r="P45" s="634"/>
      <c r="Q45" s="634"/>
      <c r="R45" s="634"/>
      <c r="S45" s="634"/>
      <c r="T45" s="635"/>
      <c r="U45" s="634"/>
      <c r="V45" s="633"/>
      <c r="W45" s="604"/>
    </row>
    <row r="46" spans="1:23" s="605" customFormat="1" ht="12.75" hidden="1">
      <c r="A46" s="589" t="s">
        <v>169</v>
      </c>
      <c r="B46" s="631"/>
      <c r="C46" s="633"/>
      <c r="D46" s="633"/>
      <c r="E46" s="633"/>
      <c r="F46" s="633"/>
      <c r="G46" s="633"/>
      <c r="H46" s="633"/>
      <c r="I46" s="634"/>
      <c r="J46" s="634"/>
      <c r="K46" s="634"/>
      <c r="L46" s="634"/>
      <c r="M46" s="634"/>
      <c r="N46" s="634"/>
      <c r="O46" s="632"/>
      <c r="P46" s="634">
        <v>18837</v>
      </c>
      <c r="Q46" s="634">
        <v>12600</v>
      </c>
      <c r="R46" s="634">
        <v>3</v>
      </c>
      <c r="S46" s="634">
        <v>21780</v>
      </c>
      <c r="T46" s="635"/>
      <c r="U46" s="634"/>
      <c r="V46" s="633">
        <v>20000</v>
      </c>
      <c r="W46" s="604"/>
    </row>
    <row r="47" spans="1:23" s="605" customFormat="1" ht="12.75" hidden="1">
      <c r="A47" s="589" t="s">
        <v>170</v>
      </c>
      <c r="B47" s="631"/>
      <c r="C47" s="633"/>
      <c r="D47" s="633"/>
      <c r="E47" s="633"/>
      <c r="F47" s="633"/>
      <c r="G47" s="633"/>
      <c r="H47" s="633"/>
      <c r="I47" s="634"/>
      <c r="J47" s="634"/>
      <c r="K47" s="634"/>
      <c r="L47" s="634"/>
      <c r="M47" s="634"/>
      <c r="N47" s="634"/>
      <c r="O47" s="632"/>
      <c r="P47" s="634">
        <v>10350</v>
      </c>
      <c r="Q47" s="634"/>
      <c r="R47" s="634">
        <v>3</v>
      </c>
      <c r="S47" s="634">
        <v>21780</v>
      </c>
      <c r="T47" s="635"/>
      <c r="U47" s="634"/>
      <c r="V47" s="632"/>
      <c r="W47" s="604"/>
    </row>
    <row r="48" spans="1:23" s="605" customFormat="1" ht="12.75" hidden="1">
      <c r="A48" s="589" t="s">
        <v>171</v>
      </c>
      <c r="B48" s="631">
        <f>VegCurrent!AD118</f>
        <v>0.0018515240573889363</v>
      </c>
      <c r="C48" s="633"/>
      <c r="D48" s="633"/>
      <c r="E48" s="633"/>
      <c r="F48" s="633"/>
      <c r="G48" s="633"/>
      <c r="H48" s="633"/>
      <c r="I48" s="634"/>
      <c r="J48" s="634"/>
      <c r="K48" s="634"/>
      <c r="L48" s="634"/>
      <c r="M48" s="634"/>
      <c r="N48" s="634"/>
      <c r="O48" s="632"/>
      <c r="P48" s="634">
        <v>10350</v>
      </c>
      <c r="Q48" s="634">
        <v>7500</v>
      </c>
      <c r="R48" s="634">
        <v>3</v>
      </c>
      <c r="S48" s="634">
        <v>21780</v>
      </c>
      <c r="T48" s="635"/>
      <c r="U48" s="634"/>
      <c r="V48" s="633">
        <v>6000</v>
      </c>
      <c r="W48" s="604"/>
    </row>
    <row r="49" spans="1:23" s="605" customFormat="1" ht="12.75" hidden="1">
      <c r="A49" s="589" t="s">
        <v>172</v>
      </c>
      <c r="B49" s="631"/>
      <c r="C49" s="632"/>
      <c r="D49" s="632"/>
      <c r="E49" s="632"/>
      <c r="F49" s="632"/>
      <c r="G49" s="632"/>
      <c r="H49" s="632"/>
      <c r="I49" s="632"/>
      <c r="J49" s="632"/>
      <c r="K49" s="634"/>
      <c r="L49" s="634"/>
      <c r="M49" s="634"/>
      <c r="N49" s="634"/>
      <c r="O49" s="632"/>
      <c r="P49" s="634">
        <v>27531</v>
      </c>
      <c r="Q49" s="634">
        <v>40000</v>
      </c>
      <c r="R49" s="634">
        <v>3</v>
      </c>
      <c r="S49" s="634">
        <v>21780</v>
      </c>
      <c r="T49" s="635"/>
      <c r="U49" s="634"/>
      <c r="V49" s="633">
        <v>36000</v>
      </c>
      <c r="W49" s="604"/>
    </row>
    <row r="50" spans="1:23" s="605" customFormat="1" ht="12.75" hidden="1">
      <c r="A50" s="589" t="s">
        <v>173</v>
      </c>
      <c r="B50" s="631"/>
      <c r="C50" s="633"/>
      <c r="D50" s="633"/>
      <c r="E50" s="633"/>
      <c r="F50" s="633"/>
      <c r="G50" s="633"/>
      <c r="H50" s="633"/>
      <c r="I50" s="634"/>
      <c r="J50" s="634"/>
      <c r="K50" s="634"/>
      <c r="L50" s="634"/>
      <c r="M50" s="634"/>
      <c r="N50" s="634"/>
      <c r="O50" s="632"/>
      <c r="P50" s="634">
        <v>21735</v>
      </c>
      <c r="Q50" s="634"/>
      <c r="R50" s="634">
        <v>3</v>
      </c>
      <c r="S50" s="634">
        <v>21780</v>
      </c>
      <c r="T50" s="635"/>
      <c r="U50" s="634"/>
      <c r="V50" s="632"/>
      <c r="W50" s="604"/>
    </row>
    <row r="51" spans="1:23" s="605" customFormat="1" ht="12.75" hidden="1">
      <c r="A51" s="589" t="s">
        <v>174</v>
      </c>
      <c r="B51" s="631"/>
      <c r="C51" s="633"/>
      <c r="D51" s="633"/>
      <c r="E51" s="633"/>
      <c r="F51" s="633"/>
      <c r="G51" s="633"/>
      <c r="H51" s="633"/>
      <c r="I51" s="634"/>
      <c r="J51" s="634"/>
      <c r="K51" s="634"/>
      <c r="L51" s="634"/>
      <c r="M51" s="634"/>
      <c r="N51" s="634"/>
      <c r="O51" s="632"/>
      <c r="P51" s="634">
        <v>24633</v>
      </c>
      <c r="Q51" s="634">
        <v>40000</v>
      </c>
      <c r="R51" s="634">
        <v>3</v>
      </c>
      <c r="S51" s="634">
        <v>21780</v>
      </c>
      <c r="T51" s="634"/>
      <c r="U51" s="634"/>
      <c r="V51" s="633">
        <v>24000</v>
      </c>
      <c r="W51" s="604"/>
    </row>
    <row r="52" spans="1:23" ht="13.5" thickBot="1">
      <c r="A52" s="571"/>
      <c r="B52" s="630"/>
      <c r="C52" s="164"/>
      <c r="D52" s="164"/>
      <c r="E52" s="164"/>
      <c r="F52" s="164"/>
      <c r="G52" s="164"/>
      <c r="H52" s="164"/>
      <c r="I52" s="37"/>
      <c r="J52" s="37"/>
      <c r="K52" s="37"/>
      <c r="N52" s="17" t="s">
        <v>175</v>
      </c>
      <c r="P52" s="574"/>
      <c r="Q52" s="37"/>
      <c r="R52" s="37"/>
      <c r="S52" s="37"/>
      <c r="T52" s="37"/>
      <c r="U52" s="37"/>
      <c r="V52" s="19"/>
      <c r="W52" s="575"/>
    </row>
    <row r="53" spans="1:23" ht="13.5" thickBot="1">
      <c r="A53" s="636" t="s">
        <v>764</v>
      </c>
      <c r="B53" s="637">
        <f>SUM(B54:B57)</f>
        <v>0.10299243314246351</v>
      </c>
      <c r="C53" s="638"/>
      <c r="D53" s="638"/>
      <c r="E53" s="638"/>
      <c r="F53" s="638"/>
      <c r="G53" s="638"/>
      <c r="H53" s="638"/>
      <c r="I53" s="639">
        <f>(I54+I58)/2</f>
        <v>1704</v>
      </c>
      <c r="J53" s="639"/>
      <c r="K53" s="639">
        <v>1754</v>
      </c>
      <c r="L53" s="640">
        <f>(K53-I53)/I53</f>
        <v>0.029342723004694836</v>
      </c>
      <c r="M53" s="641" t="s">
        <v>76</v>
      </c>
      <c r="N53" s="641">
        <f>SUM(N54:N58)/5</f>
        <v>1439.2</v>
      </c>
      <c r="O53" s="642"/>
      <c r="P53" s="643"/>
      <c r="Q53" s="639"/>
      <c r="R53" s="639"/>
      <c r="S53" s="639"/>
      <c r="T53" s="639"/>
      <c r="U53" s="639"/>
      <c r="V53" s="642"/>
      <c r="W53" s="644">
        <v>1750</v>
      </c>
    </row>
    <row r="54" spans="1:23" ht="12.75">
      <c r="A54" s="571" t="s">
        <v>176</v>
      </c>
      <c r="B54" s="630">
        <v>0.09912200763855314</v>
      </c>
      <c r="C54" s="165">
        <f>B54/B53</f>
        <v>0.9624202925805565</v>
      </c>
      <c r="D54" s="164">
        <v>1420</v>
      </c>
      <c r="E54" s="164">
        <v>1370</v>
      </c>
      <c r="F54" s="164">
        <v>1460</v>
      </c>
      <c r="G54" s="19">
        <v>870</v>
      </c>
      <c r="H54" s="164">
        <v>1360</v>
      </c>
      <c r="I54" s="37">
        <f>SUM(D54:H54)/5</f>
        <v>1296</v>
      </c>
      <c r="J54" s="37"/>
      <c r="K54" s="37"/>
      <c r="N54" s="17">
        <v>1708</v>
      </c>
      <c r="Q54" s="37"/>
      <c r="R54" s="37"/>
      <c r="S54" s="37"/>
      <c r="T54" s="37"/>
      <c r="U54" s="37"/>
      <c r="V54" s="19"/>
      <c r="W54" s="575"/>
    </row>
    <row r="55" spans="1:23" ht="12.75">
      <c r="A55" s="571" t="s">
        <v>177</v>
      </c>
      <c r="B55" s="630"/>
      <c r="C55" s="165"/>
      <c r="D55" s="19"/>
      <c r="E55" s="19"/>
      <c r="F55" s="19"/>
      <c r="G55" s="19"/>
      <c r="H55" s="19"/>
      <c r="I55" s="19"/>
      <c r="J55" s="19"/>
      <c r="K55" s="37"/>
      <c r="N55" s="17">
        <v>1799</v>
      </c>
      <c r="Q55" s="37"/>
      <c r="R55" s="37"/>
      <c r="S55" s="37"/>
      <c r="T55" s="37"/>
      <c r="U55" s="37"/>
      <c r="V55" s="19"/>
      <c r="W55" s="575"/>
    </row>
    <row r="56" spans="1:23" ht="12.75">
      <c r="A56" s="571" t="s">
        <v>178</v>
      </c>
      <c r="B56" s="630"/>
      <c r="C56" s="165"/>
      <c r="D56" s="164"/>
      <c r="E56" s="164"/>
      <c r="F56" s="164"/>
      <c r="G56" s="164"/>
      <c r="H56" s="164"/>
      <c r="I56" s="37"/>
      <c r="J56" s="37"/>
      <c r="K56" s="37"/>
      <c r="N56" s="17">
        <v>1151</v>
      </c>
      <c r="W56" s="575"/>
    </row>
    <row r="57" spans="1:23" ht="12.75">
      <c r="A57" s="645" t="s">
        <v>179</v>
      </c>
      <c r="B57" s="646">
        <v>0.0038704255039103685</v>
      </c>
      <c r="C57" s="184">
        <f>B57/B53</f>
        <v>0.03757970741944344</v>
      </c>
      <c r="D57" s="51"/>
      <c r="E57" s="51"/>
      <c r="F57" s="51"/>
      <c r="G57" s="51"/>
      <c r="H57" s="51"/>
      <c r="I57" s="17"/>
      <c r="J57" s="17"/>
      <c r="W57" s="575"/>
    </row>
    <row r="58" spans="1:23" ht="13.5" thickBot="1">
      <c r="A58" s="571" t="s">
        <v>180</v>
      </c>
      <c r="C58" s="51"/>
      <c r="D58" s="51">
        <v>2460</v>
      </c>
      <c r="E58" s="51">
        <v>2220</v>
      </c>
      <c r="F58" s="51">
        <v>1980</v>
      </c>
      <c r="G58" s="51">
        <v>1980</v>
      </c>
      <c r="H58" s="51">
        <v>1920</v>
      </c>
      <c r="I58" s="17">
        <f>SUM(D58:H58)/5</f>
        <v>2112</v>
      </c>
      <c r="J58" s="17">
        <f>OilsY!G7</f>
        <v>2506.8</v>
      </c>
      <c r="N58" s="17">
        <v>2538</v>
      </c>
      <c r="W58" s="647"/>
    </row>
    <row r="59" ht="12.75"/>
    <row r="60" ht="12.75">
      <c r="A60" s="648" t="s">
        <v>181</v>
      </c>
    </row>
    <row r="61" ht="12.75">
      <c r="A61" s="620" t="s">
        <v>827</v>
      </c>
    </row>
    <row r="62" ht="12.75">
      <c r="A62" s="620" t="s">
        <v>182</v>
      </c>
    </row>
    <row r="63" ht="12.75">
      <c r="A63" s="501" t="s">
        <v>183</v>
      </c>
    </row>
    <row r="77" ht="12.75"/>
    <row r="78" ht="12.75"/>
    <row r="79" ht="12.75"/>
    <row r="80" ht="12.75"/>
  </sheetData>
  <sheetProtection/>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Q42"/>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L40" sqref="L40"/>
    </sheetView>
  </sheetViews>
  <sheetFormatPr defaultColWidth="8.8515625" defaultRowHeight="12.75"/>
  <cols>
    <col min="1" max="2" width="25.421875" style="0" customWidth="1"/>
    <col min="3" max="3" width="13.00390625" style="0" customWidth="1"/>
    <col min="4" max="4" width="8.421875" style="0" customWidth="1"/>
    <col min="5" max="5" width="11.421875" style="0" customWidth="1"/>
    <col min="6" max="6" width="9.421875" style="0" hidden="1" customWidth="1"/>
    <col min="7" max="7" width="15.421875" style="0" customWidth="1"/>
    <col min="8" max="8" width="13.140625" style="0" customWidth="1"/>
    <col min="9" max="9" width="15.00390625" style="0" customWidth="1"/>
    <col min="10" max="10" width="10.28125" style="0" bestFit="1" customWidth="1"/>
    <col min="11" max="11" width="11.28125" style="0" bestFit="1" customWidth="1"/>
    <col min="12" max="12" width="8.8515625" style="0" customWidth="1"/>
    <col min="13" max="14" width="11.7109375" style="0" customWidth="1"/>
    <col min="15" max="15" width="30.140625" style="0" customWidth="1"/>
  </cols>
  <sheetData>
    <row r="1" spans="1:3" ht="15.75">
      <c r="A1" s="113" t="s">
        <v>272</v>
      </c>
      <c r="B1" s="113"/>
      <c r="C1" s="113"/>
    </row>
    <row r="2" spans="1:7" ht="12.75">
      <c r="A2" s="14" t="s">
        <v>808</v>
      </c>
      <c r="B2" s="14"/>
      <c r="C2" s="14"/>
      <c r="E2" s="977"/>
      <c r="G2" s="24"/>
    </row>
    <row r="3" spans="1:5" ht="12.75">
      <c r="A3" s="8"/>
      <c r="B3" s="8"/>
      <c r="C3" s="8"/>
      <c r="D3" s="41"/>
      <c r="E3" s="976"/>
    </row>
    <row r="4" spans="1:7" ht="12.75">
      <c r="A4" t="s">
        <v>122</v>
      </c>
      <c r="B4" s="654">
        <v>17000000</v>
      </c>
      <c r="C4" s="15"/>
      <c r="D4" s="41"/>
      <c r="E4" s="976"/>
      <c r="G4" s="24"/>
    </row>
    <row r="6" spans="1:16" ht="38.25" customHeight="1">
      <c r="A6" s="14"/>
      <c r="B6" s="1192" t="s">
        <v>833</v>
      </c>
      <c r="C6" s="1194"/>
      <c r="D6" s="1192" t="s">
        <v>832</v>
      </c>
      <c r="E6" s="1193"/>
      <c r="F6" s="1194"/>
      <c r="G6" s="268" t="s">
        <v>45</v>
      </c>
      <c r="H6" s="268" t="s">
        <v>193</v>
      </c>
      <c r="I6" s="268" t="s">
        <v>198</v>
      </c>
      <c r="J6" s="345" t="s">
        <v>119</v>
      </c>
      <c r="K6" s="1191" t="s">
        <v>199</v>
      </c>
      <c r="L6" s="1187"/>
      <c r="M6" s="344" t="s">
        <v>664</v>
      </c>
      <c r="N6" s="1010"/>
      <c r="O6" s="1011"/>
      <c r="P6" s="233"/>
    </row>
    <row r="7" spans="2:16" s="656" customFormat="1" ht="23.25" customHeight="1">
      <c r="B7" s="657" t="s">
        <v>72</v>
      </c>
      <c r="C7" s="655" t="s">
        <v>830</v>
      </c>
      <c r="D7" s="658" t="s">
        <v>72</v>
      </c>
      <c r="E7" s="655" t="s">
        <v>830</v>
      </c>
      <c r="F7" s="658" t="s">
        <v>73</v>
      </c>
      <c r="G7" s="655" t="s">
        <v>831</v>
      </c>
      <c r="H7" s="658" t="s">
        <v>192</v>
      </c>
      <c r="I7" s="659" t="s">
        <v>35</v>
      </c>
      <c r="J7" s="659" t="s">
        <v>99</v>
      </c>
      <c r="K7" s="658" t="s">
        <v>120</v>
      </c>
      <c r="L7" s="658" t="s">
        <v>191</v>
      </c>
      <c r="M7" s="660" t="s">
        <v>41</v>
      </c>
      <c r="N7" s="1012"/>
      <c r="O7" s="1013" t="s">
        <v>1044</v>
      </c>
      <c r="P7" s="661"/>
    </row>
    <row r="8" spans="1:16" ht="12.75" customHeight="1">
      <c r="A8" s="341" t="s">
        <v>98</v>
      </c>
      <c r="B8" s="348">
        <f>FruitCurrent!AF23</f>
        <v>0.21014834558436601</v>
      </c>
      <c r="C8" s="349">
        <f>B8/SUM(B8:B15)</f>
        <v>0.5199781915816434</v>
      </c>
      <c r="D8" s="350">
        <f>H8/G8</f>
        <v>0.505628833190788</v>
      </c>
      <c r="E8" s="352">
        <f aca="true" t="shared" si="0" ref="E8:E15">D8/1</f>
        <v>0.505628833190788</v>
      </c>
      <c r="F8" s="351">
        <f aca="true" t="shared" si="1" ref="F8:F13">D8*7</f>
        <v>3.539401832335516</v>
      </c>
      <c r="G8" s="430">
        <f>FruitCurrent!AH23</f>
        <v>225.87784842183174</v>
      </c>
      <c r="H8" s="430">
        <f>I8/B4</f>
        <v>114.21035294117647</v>
      </c>
      <c r="I8" s="353">
        <f>J8*K8</f>
        <v>1941576000</v>
      </c>
      <c r="J8" s="430">
        <f>FruitY!G7</f>
        <v>10668</v>
      </c>
      <c r="K8" s="433">
        <v>182000</v>
      </c>
      <c r="L8" s="354">
        <f aca="true" t="shared" si="2" ref="L8:L14">K8/1000</f>
        <v>182</v>
      </c>
      <c r="M8" s="649">
        <f aca="true" t="shared" si="3" ref="M8:M16">D8/B8</f>
        <v>2.406056691927649</v>
      </c>
      <c r="N8" s="275"/>
      <c r="O8" s="14" t="s">
        <v>1039</v>
      </c>
      <c r="P8" s="233"/>
    </row>
    <row r="9" spans="1:16" ht="12.75">
      <c r="A9" s="342" t="s">
        <v>409</v>
      </c>
      <c r="B9" s="355">
        <f>FruitCurrent!AF28</f>
        <v>0.014288422839549834</v>
      </c>
      <c r="C9" s="356">
        <f>B9/SUM(B8:B15)</f>
        <v>0.03535439809437026</v>
      </c>
      <c r="D9" s="357">
        <f>H9/G9</f>
        <v>0.02799846501426528</v>
      </c>
      <c r="E9" s="359">
        <f t="shared" si="0"/>
        <v>0.02799846501426528</v>
      </c>
      <c r="F9" s="358">
        <f t="shared" si="1"/>
        <v>0.19598925509985696</v>
      </c>
      <c r="G9" s="431">
        <f>FruitCurrent!AH28</f>
        <v>179.76380519481592</v>
      </c>
      <c r="H9" s="432">
        <f>I9/B4</f>
        <v>5.033110610578253</v>
      </c>
      <c r="I9" s="360">
        <f>J9*K9</f>
        <v>85562880.3798303</v>
      </c>
      <c r="J9" s="431">
        <f>FruitY!G8</f>
        <v>1899.3713456719568</v>
      </c>
      <c r="K9" s="434">
        <v>45048</v>
      </c>
      <c r="L9" s="361">
        <f t="shared" si="2"/>
        <v>45.048</v>
      </c>
      <c r="M9" s="650">
        <f t="shared" si="3"/>
        <v>1.959521028224791</v>
      </c>
      <c r="N9" s="275"/>
      <c r="O9" s="14" t="s">
        <v>1039</v>
      </c>
      <c r="P9" s="1008" t="s">
        <v>1040</v>
      </c>
    </row>
    <row r="10" spans="1:16" ht="12.75">
      <c r="A10" s="342" t="s">
        <v>101</v>
      </c>
      <c r="B10" s="355">
        <f>FruitCurrent!AF33</f>
        <v>0.009605858276617397</v>
      </c>
      <c r="C10" s="356">
        <f>B10/SUM(B8:B15)</f>
        <v>0.0237681472170327</v>
      </c>
      <c r="D10" s="357">
        <f>H10/G10</f>
        <v>0.05401419727872756</v>
      </c>
      <c r="E10" s="359">
        <f t="shared" si="0"/>
        <v>0.05401419727872756</v>
      </c>
      <c r="F10" s="358">
        <f t="shared" si="1"/>
        <v>0.3780993809510929</v>
      </c>
      <c r="G10" s="431">
        <f>FruitCurrent!AH33</f>
        <v>240.97561180308895</v>
      </c>
      <c r="H10" s="431">
        <f>I10/B4</f>
        <v>13.016104235294117</v>
      </c>
      <c r="I10" s="360">
        <f>J10*K10</f>
        <v>221273772</v>
      </c>
      <c r="J10" s="431">
        <f>FruitY!G9</f>
        <v>16188</v>
      </c>
      <c r="K10" s="431">
        <v>13669</v>
      </c>
      <c r="L10" s="361">
        <f t="shared" si="2"/>
        <v>13.669</v>
      </c>
      <c r="M10" s="650">
        <f t="shared" si="3"/>
        <v>5.623047490738964</v>
      </c>
      <c r="N10" s="275"/>
      <c r="O10" s="14" t="s">
        <v>1039</v>
      </c>
      <c r="P10" s="1008" t="s">
        <v>1041</v>
      </c>
    </row>
    <row r="11" spans="1:16" ht="12.75">
      <c r="A11" s="342" t="s">
        <v>102</v>
      </c>
      <c r="B11" s="355">
        <f>FruitCurrent!AF38</f>
        <v>0.050615689433954184</v>
      </c>
      <c r="C11" s="356">
        <f>B11/SUM(B8:B15)</f>
        <v>0.12524036096662755</v>
      </c>
      <c r="D11" s="357">
        <f>H11/G11</f>
        <v>0.11603716687638625</v>
      </c>
      <c r="E11" s="359">
        <f t="shared" si="0"/>
        <v>0.11603716687638625</v>
      </c>
      <c r="F11" s="358">
        <f t="shared" si="1"/>
        <v>0.8122601681347038</v>
      </c>
      <c r="G11" s="431">
        <f>FruitCurrent!AH38</f>
        <v>254.11229334517506</v>
      </c>
      <c r="H11" s="431">
        <f>I11/B4</f>
        <v>29.486470588235296</v>
      </c>
      <c r="I11" s="360">
        <f>J11*K11</f>
        <v>501270000</v>
      </c>
      <c r="J11" s="434">
        <f>FruitY!M10</f>
        <v>10025.4</v>
      </c>
      <c r="K11" s="431">
        <v>50000</v>
      </c>
      <c r="L11" s="361">
        <f t="shared" si="2"/>
        <v>50</v>
      </c>
      <c r="M11" s="650">
        <f t="shared" si="3"/>
        <v>2.292513806964878</v>
      </c>
      <c r="N11" s="275"/>
      <c r="O11" s="14" t="s">
        <v>1038</v>
      </c>
      <c r="P11" s="233"/>
    </row>
    <row r="12" spans="1:16" ht="12.75" customHeight="1">
      <c r="A12" s="342" t="s">
        <v>137</v>
      </c>
      <c r="B12" s="355">
        <f>FruitCurrent!AF45</f>
        <v>0.030528021665083886</v>
      </c>
      <c r="C12" s="356">
        <f>B12/SUM(B8:B15)</f>
        <v>0.07553666650971953</v>
      </c>
      <c r="D12" s="357">
        <f>0.0338747545208791*2.36</f>
        <v>0.07994442066927467</v>
      </c>
      <c r="E12" s="359">
        <f t="shared" si="0"/>
        <v>0.07994442066927467</v>
      </c>
      <c r="F12" s="358">
        <f t="shared" si="1"/>
        <v>0.5596109446849227</v>
      </c>
      <c r="G12" s="431">
        <f>FruitCurrent!AH45</f>
        <v>286.8598682089166</v>
      </c>
      <c r="H12" s="431">
        <f>D12*G12</f>
        <v>22.93284597722632</v>
      </c>
      <c r="I12" s="360">
        <f>H12*B4</f>
        <v>389858381.61284745</v>
      </c>
      <c r="J12" s="431">
        <f>FruitY!G11</f>
        <v>7766.4</v>
      </c>
      <c r="K12" s="431">
        <f>I12/J12</f>
        <v>50198.081686862315</v>
      </c>
      <c r="L12" s="361">
        <f t="shared" si="2"/>
        <v>50.19808168686232</v>
      </c>
      <c r="M12" s="650">
        <f t="shared" si="3"/>
        <v>2.618722613156105</v>
      </c>
      <c r="N12" s="275"/>
      <c r="O12" s="14" t="s">
        <v>1039</v>
      </c>
      <c r="P12" s="233"/>
    </row>
    <row r="13" spans="1:16" ht="12.75">
      <c r="A13" s="342" t="s">
        <v>104</v>
      </c>
      <c r="B13" s="355">
        <f>FruitCurrent!AF51</f>
        <v>0.023106547745242532</v>
      </c>
      <c r="C13" s="356">
        <f>B13/SUM(B8:B15)</f>
        <v>0.05717342611884906</v>
      </c>
      <c r="D13" s="362">
        <f>0.0237058440606752*2.36</f>
        <v>0.05594579198319347</v>
      </c>
      <c r="E13" s="359">
        <f t="shared" si="0"/>
        <v>0.05594579198319347</v>
      </c>
      <c r="F13" s="358">
        <f t="shared" si="1"/>
        <v>0.3916205438823543</v>
      </c>
      <c r="G13" s="431">
        <f>FruitCurrent!AH51</f>
        <v>232.90941401881744</v>
      </c>
      <c r="H13" s="431">
        <f>D13*G13</f>
        <v>13.030301627624246</v>
      </c>
      <c r="I13" s="360">
        <f>H13*B4</f>
        <v>221515127.66961217</v>
      </c>
      <c r="J13" s="431">
        <f>FruitY!G12</f>
        <v>4940</v>
      </c>
      <c r="K13" s="431">
        <f>I13/J13</f>
        <v>44841.11896145995</v>
      </c>
      <c r="L13" s="361">
        <f t="shared" si="2"/>
        <v>44.84111896145995</v>
      </c>
      <c r="M13" s="650">
        <f t="shared" si="3"/>
        <v>2.421209459760699</v>
      </c>
      <c r="N13" s="275"/>
      <c r="O13" s="14" t="s">
        <v>1039</v>
      </c>
      <c r="P13" s="233"/>
    </row>
    <row r="14" spans="1:17" ht="12.75">
      <c r="A14" s="342" t="s">
        <v>106</v>
      </c>
      <c r="B14" s="355">
        <f>FruitCurrent!AF56</f>
        <v>0.029480154544799592</v>
      </c>
      <c r="C14" s="356">
        <f>B14/SUM(B8:B15)</f>
        <v>0.07294388830483688</v>
      </c>
      <c r="D14" s="362">
        <v>0.071</v>
      </c>
      <c r="E14" s="359">
        <f t="shared" si="0"/>
        <v>0.071</v>
      </c>
      <c r="F14" s="358">
        <f>D14*7</f>
        <v>0.49699999999999994</v>
      </c>
      <c r="G14" s="431">
        <f>FruitCurrent!AH56</f>
        <v>240.17261002951687</v>
      </c>
      <c r="H14" s="431">
        <f>G14*D14</f>
        <v>17.052255312095696</v>
      </c>
      <c r="I14" s="360">
        <f>H14*B4</f>
        <v>289888340.3056268</v>
      </c>
      <c r="J14" s="431">
        <f>FruitY!G13</f>
        <v>4840</v>
      </c>
      <c r="K14" s="431">
        <f>I14/J14</f>
        <v>59894.285187112975</v>
      </c>
      <c r="L14" s="361">
        <f t="shared" si="2"/>
        <v>59.89428518711298</v>
      </c>
      <c r="M14" s="650">
        <f t="shared" si="3"/>
        <v>2.4083998573380834</v>
      </c>
      <c r="N14" s="275"/>
      <c r="O14" s="14" t="s">
        <v>1039</v>
      </c>
      <c r="P14" s="241"/>
      <c r="Q14" s="4"/>
    </row>
    <row r="15" spans="1:17" ht="12.75">
      <c r="A15" s="342" t="s">
        <v>107</v>
      </c>
      <c r="B15" s="363">
        <f>FruitCurrent!AF58</f>
        <v>0.03637534341306277</v>
      </c>
      <c r="C15" s="356">
        <f>B15/SUM(B8:B15)</f>
        <v>0.09000492120692077</v>
      </c>
      <c r="D15" s="362">
        <v>0.085</v>
      </c>
      <c r="E15" s="364">
        <f t="shared" si="0"/>
        <v>0.085</v>
      </c>
      <c r="F15" s="358">
        <f>D15*7</f>
        <v>0.5950000000000001</v>
      </c>
      <c r="G15" s="431">
        <f>FruitCurrent!AH58</f>
        <v>415.4130006552757</v>
      </c>
      <c r="H15" s="431">
        <f>G15*D15</f>
        <v>35.310105055698436</v>
      </c>
      <c r="I15" s="360">
        <f>H15*B4</f>
        <v>600271785.9468734</v>
      </c>
      <c r="J15" s="431">
        <f>FruitY!G14</f>
        <v>11600</v>
      </c>
      <c r="K15" s="431">
        <f>I15/J15</f>
        <v>51747.567754040814</v>
      </c>
      <c r="L15" s="361">
        <f>K15/1000</f>
        <v>51.747567754040816</v>
      </c>
      <c r="M15" s="650">
        <f t="shared" si="3"/>
        <v>2.3367476984279305</v>
      </c>
      <c r="N15" s="275"/>
      <c r="O15" s="14" t="s">
        <v>1039</v>
      </c>
      <c r="P15" s="241"/>
      <c r="Q15" s="4"/>
    </row>
    <row r="16" spans="1:14" ht="12.75">
      <c r="A16" s="681" t="s">
        <v>1160</v>
      </c>
      <c r="B16" s="682">
        <f>FruitCurrent!AF9</f>
        <v>0.4351866876348854</v>
      </c>
      <c r="C16" s="701"/>
      <c r="D16" s="683">
        <f>SUM(D8:D15)</f>
        <v>0.9955688750126351</v>
      </c>
      <c r="E16" s="701"/>
      <c r="F16" s="683">
        <f>SUM(F8:F14)</f>
        <v>6.373982125088445</v>
      </c>
      <c r="G16" s="684"/>
      <c r="H16" s="433">
        <f>SUM(H8:H13)</f>
        <v>197.70918598013472</v>
      </c>
      <c r="I16" s="685">
        <f>SUM(I8:I13)</f>
        <v>3361056161.6622896</v>
      </c>
      <c r="J16" s="684"/>
      <c r="K16" s="433">
        <f>SUM(K8:K15)</f>
        <v>497398.0535894761</v>
      </c>
      <c r="L16" s="686">
        <f>SUM(L8:L15)</f>
        <v>497.39805358947604</v>
      </c>
      <c r="M16" s="671">
        <f t="shared" si="3"/>
        <v>2.2876822827997474</v>
      </c>
      <c r="N16" s="244"/>
    </row>
    <row r="17" spans="1:15" ht="12.75">
      <c r="A17" s="261"/>
      <c r="B17" s="365"/>
      <c r="C17" s="366"/>
      <c r="D17" s="367"/>
      <c r="E17" s="368"/>
      <c r="F17" s="368"/>
      <c r="G17" s="357"/>
      <c r="H17" s="357"/>
      <c r="I17" s="360"/>
      <c r="J17" s="357"/>
      <c r="K17" s="431"/>
      <c r="L17" s="369"/>
      <c r="M17" s="161"/>
      <c r="N17" s="4"/>
      <c r="O17" s="233"/>
    </row>
    <row r="18" spans="1:15" ht="12.75" customHeight="1">
      <c r="A18" s="262" t="s">
        <v>416</v>
      </c>
      <c r="B18" s="370">
        <f>FruitCurrent!AF104</f>
        <v>0.17472020364552976</v>
      </c>
      <c r="C18" s="371">
        <f>B18/SUM(B18:B27)</f>
        <v>0.5119596458350427</v>
      </c>
      <c r="D18" s="372">
        <f>C18</f>
        <v>0.5119596458350427</v>
      </c>
      <c r="E18" s="662">
        <f>D18/SUM(D18:D27)</f>
        <v>0.5119596458350426</v>
      </c>
      <c r="F18" s="467">
        <f aca="true" t="shared" si="4" ref="F18:F27">D18*7</f>
        <v>3.583717520845299</v>
      </c>
      <c r="G18" s="431">
        <f>FruitCurrent!AH104</f>
        <v>379.3109950287626</v>
      </c>
      <c r="H18" s="431">
        <f aca="true" t="shared" si="5" ref="H18:H27">G18*D18</f>
        <v>194.19192267626295</v>
      </c>
      <c r="I18" s="360">
        <f aca="true" t="shared" si="6" ref="I18:I27">H18*$B$4</f>
        <v>3301262685.49647</v>
      </c>
      <c r="J18" s="431">
        <f>FruitY!G23</f>
        <v>28653.279165727123</v>
      </c>
      <c r="K18" s="431">
        <f>I18/J18</f>
        <v>115214.13191147734</v>
      </c>
      <c r="L18" s="369">
        <f>K18/1000</f>
        <v>115.21413191147734</v>
      </c>
      <c r="M18" s="650">
        <f>D18/B18</f>
        <v>2.9301685503623855</v>
      </c>
      <c r="N18" s="275"/>
      <c r="O18" s="1009" t="s">
        <v>1045</v>
      </c>
    </row>
    <row r="19" spans="1:15" ht="12.75" customHeight="1">
      <c r="A19" s="262" t="s">
        <v>410</v>
      </c>
      <c r="B19" s="370">
        <f>FruitCurrent!AF107</f>
        <v>0.07981738131187596</v>
      </c>
      <c r="C19" s="371">
        <f>B19/SUM(B18:B27)</f>
        <v>0.23387838049234133</v>
      </c>
      <c r="D19" s="372">
        <f aca="true" t="shared" si="7" ref="D19:D27">C19</f>
        <v>0.23387838049234133</v>
      </c>
      <c r="E19" s="662">
        <f>D19/SUM(D18:D27)</f>
        <v>0.23387838049234128</v>
      </c>
      <c r="F19" s="467">
        <f t="shared" si="4"/>
        <v>1.6371486634463892</v>
      </c>
      <c r="G19" s="431">
        <f>FruitCurrent!AH107</f>
        <v>309.99329275018215</v>
      </c>
      <c r="H19" s="431">
        <f t="shared" si="5"/>
        <v>72.50072927190085</v>
      </c>
      <c r="I19" s="360">
        <f t="shared" si="6"/>
        <v>1232512397.6223145</v>
      </c>
      <c r="J19" s="431">
        <f>FruitY!N37</f>
        <v>10196.3583136892</v>
      </c>
      <c r="K19" s="431">
        <f aca="true" t="shared" si="8" ref="K19:K27">I19/J19</f>
        <v>120877.70552037147</v>
      </c>
      <c r="L19" s="369">
        <f aca="true" t="shared" si="9" ref="L19:L27">K19/1000</f>
        <v>120.87770552037146</v>
      </c>
      <c r="M19" s="650">
        <f aca="true" t="shared" si="10" ref="M19:M26">D19/B19</f>
        <v>2.930168550362385</v>
      </c>
      <c r="N19" s="275"/>
      <c r="O19" s="1009" t="s">
        <v>1045</v>
      </c>
    </row>
    <row r="20" spans="1:15" ht="12.75" customHeight="1">
      <c r="A20" s="262" t="s">
        <v>415</v>
      </c>
      <c r="B20" s="370">
        <f>FruitCurrent!AF113</f>
        <v>0.024462034573132084</v>
      </c>
      <c r="C20" s="371">
        <f>B20/SUM(B18:B27)</f>
        <v>0.071677884384069</v>
      </c>
      <c r="D20" s="372">
        <f t="shared" si="7"/>
        <v>0.071677884384069</v>
      </c>
      <c r="E20" s="662">
        <f>D20/SUM(D18:D27)</f>
        <v>0.07167788438406898</v>
      </c>
      <c r="F20" s="467">
        <f t="shared" si="4"/>
        <v>0.501745190688483</v>
      </c>
      <c r="G20" s="431">
        <f>FruitCurrent!AH113</f>
        <v>540.2649173611089</v>
      </c>
      <c r="H20" s="431">
        <f t="shared" si="5"/>
        <v>38.725046283378155</v>
      </c>
      <c r="I20" s="360">
        <f t="shared" si="6"/>
        <v>658325786.8174286</v>
      </c>
      <c r="J20" s="431">
        <f>FruitY!N38</f>
        <v>12667.159174156</v>
      </c>
      <c r="K20" s="431">
        <f t="shared" si="8"/>
        <v>51971.06768505513</v>
      </c>
      <c r="L20" s="369">
        <f t="shared" si="9"/>
        <v>51.97106768505513</v>
      </c>
      <c r="M20" s="650">
        <f t="shared" si="10"/>
        <v>2.9301685503623855</v>
      </c>
      <c r="N20" s="275"/>
      <c r="O20" s="1009" t="s">
        <v>1045</v>
      </c>
    </row>
    <row r="21" spans="1:15" ht="12.75" customHeight="1">
      <c r="A21" s="262" t="s">
        <v>1157</v>
      </c>
      <c r="B21" s="370">
        <f>FruitCurrent!AF116</f>
        <v>0.016465448608745853</v>
      </c>
      <c r="C21" s="371">
        <f>B21/SUM(B18:B27)</f>
        <v>0.04824653968095519</v>
      </c>
      <c r="D21" s="372">
        <f t="shared" si="7"/>
        <v>0.04824653968095519</v>
      </c>
      <c r="E21" s="662">
        <f>D21/SUM(D18:D27)</f>
        <v>0.04824653968095518</v>
      </c>
      <c r="F21" s="467">
        <f t="shared" si="4"/>
        <v>0.33772577776668633</v>
      </c>
      <c r="G21" s="431">
        <f>FruitCurrent!AH116</f>
        <v>408.1083841298747</v>
      </c>
      <c r="H21" s="431">
        <f t="shared" si="5"/>
        <v>19.689817349052504</v>
      </c>
      <c r="I21" s="360">
        <f t="shared" si="6"/>
        <v>334726894.93389255</v>
      </c>
      <c r="J21" s="431">
        <f>FruitY!M36</f>
        <v>20360</v>
      </c>
      <c r="K21" s="431">
        <f>I21/J21</f>
        <v>16440.41723643873</v>
      </c>
      <c r="L21" s="369">
        <f t="shared" si="9"/>
        <v>16.44041723643873</v>
      </c>
      <c r="M21" s="650">
        <f t="shared" si="10"/>
        <v>2.9301685503623855</v>
      </c>
      <c r="N21" s="275"/>
      <c r="O21" s="1045" t="s">
        <v>1141</v>
      </c>
    </row>
    <row r="22" spans="1:15" ht="12.75" customHeight="1">
      <c r="A22" s="262" t="s">
        <v>414</v>
      </c>
      <c r="B22" s="370">
        <f>FruitCurrent!AF121</f>
        <v>0.015418482661490724</v>
      </c>
      <c r="C22" s="371">
        <f>B22/SUM(B18:B27)</f>
        <v>0.04517875298900785</v>
      </c>
      <c r="D22" s="372">
        <f t="shared" si="7"/>
        <v>0.04517875298900785</v>
      </c>
      <c r="E22" s="662">
        <f>D22/SUM(D18:D27)</f>
        <v>0.045178752989007843</v>
      </c>
      <c r="F22" s="467">
        <f t="shared" si="4"/>
        <v>0.31625127092305494</v>
      </c>
      <c r="G22" s="431">
        <f>FruitCurrent!AH121</f>
        <v>442.37897602928246</v>
      </c>
      <c r="H22" s="431">
        <f t="shared" si="5"/>
        <v>19.986130485557176</v>
      </c>
      <c r="I22" s="360">
        <f t="shared" si="6"/>
        <v>339764218.254472</v>
      </c>
      <c r="J22" s="431">
        <f>FruitY!G26</f>
        <v>32473.952776415477</v>
      </c>
      <c r="K22" s="431">
        <f t="shared" si="8"/>
        <v>10462.668976387411</v>
      </c>
      <c r="L22" s="369">
        <f t="shared" si="9"/>
        <v>10.46266897638741</v>
      </c>
      <c r="M22" s="650">
        <f t="shared" si="10"/>
        <v>2.9301685503623855</v>
      </c>
      <c r="N22" s="275"/>
      <c r="O22" s="1009" t="s">
        <v>1045</v>
      </c>
    </row>
    <row r="23" spans="1:15" ht="12.75" customHeight="1">
      <c r="A23" s="262" t="s">
        <v>428</v>
      </c>
      <c r="B23" s="370">
        <f>FruitCurrent!AF129</f>
        <v>0.006794851966303277</v>
      </c>
      <c r="C23" s="371">
        <f>B23/SUM(B18:B27)</f>
        <v>0.019910061536029876</v>
      </c>
      <c r="D23" s="372">
        <f t="shared" si="7"/>
        <v>0.019910061536029876</v>
      </c>
      <c r="E23" s="662">
        <f>D23/SUM(D18:D27)</f>
        <v>0.019910061536029873</v>
      </c>
      <c r="F23" s="467">
        <f t="shared" si="4"/>
        <v>0.13937043075220915</v>
      </c>
      <c r="G23" s="431">
        <f>FruitCurrent!AH129</f>
        <v>984.338018782042</v>
      </c>
      <c r="H23" s="431">
        <f t="shared" si="5"/>
        <v>19.59823052620419</v>
      </c>
      <c r="I23" s="360">
        <f t="shared" si="6"/>
        <v>333169918.9454712</v>
      </c>
      <c r="J23" s="431">
        <f>FruitY!G29</f>
        <v>31684.367283510906</v>
      </c>
      <c r="K23" s="431">
        <f>I23/J23</f>
        <v>10515.277643522919</v>
      </c>
      <c r="L23" s="369">
        <f t="shared" si="9"/>
        <v>10.51527764352292</v>
      </c>
      <c r="M23" s="650">
        <f t="shared" si="10"/>
        <v>2.930168550362385</v>
      </c>
      <c r="N23" s="275"/>
      <c r="O23" s="1009" t="s">
        <v>1045</v>
      </c>
    </row>
    <row r="24" spans="1:15" ht="12.75" customHeight="1">
      <c r="A24" s="262" t="s">
        <v>429</v>
      </c>
      <c r="B24" s="370">
        <f>FruitCurrent!AF134</f>
        <v>0.006212408798693755</v>
      </c>
      <c r="C24" s="371">
        <f>B24/SUM(B18:B27)</f>
        <v>0.018203404883927007</v>
      </c>
      <c r="D24" s="372">
        <f t="shared" si="7"/>
        <v>0.018203404883927007</v>
      </c>
      <c r="E24" s="662">
        <f>D23/SUM(D18:D27)</f>
        <v>0.019910061536029873</v>
      </c>
      <c r="F24" s="467"/>
      <c r="G24" s="431">
        <f>FruitCurrent!AH134</f>
        <v>523.0542163228889</v>
      </c>
      <c r="H24" s="431">
        <f t="shared" si="5"/>
        <v>9.521367675970689</v>
      </c>
      <c r="I24" s="360">
        <f t="shared" si="6"/>
        <v>161863250.49150172</v>
      </c>
      <c r="J24" s="431">
        <f>FruitY!N35</f>
        <v>7940.1265320634</v>
      </c>
      <c r="K24" s="431">
        <f t="shared" si="8"/>
        <v>20385.474946510498</v>
      </c>
      <c r="L24" s="369">
        <f t="shared" si="9"/>
        <v>20.3854749465105</v>
      </c>
      <c r="M24" s="650">
        <f t="shared" si="10"/>
        <v>2.930168550362385</v>
      </c>
      <c r="N24" s="275"/>
      <c r="O24" s="1009"/>
    </row>
    <row r="25" spans="1:15" ht="12.75" customHeight="1">
      <c r="A25" s="262" t="s">
        <v>412</v>
      </c>
      <c r="B25" s="370">
        <f>FruitCurrent!AF137</f>
        <v>0.0032289190008384914</v>
      </c>
      <c r="C25" s="371">
        <f>B25/SUM(B18:B27)</f>
        <v>0.009461276907924485</v>
      </c>
      <c r="D25" s="372">
        <f t="shared" si="7"/>
        <v>0.009461276907924485</v>
      </c>
      <c r="E25" s="662">
        <f>D25/SUM(D18:D27)</f>
        <v>0.009461276907924483</v>
      </c>
      <c r="F25" s="467">
        <f t="shared" si="4"/>
        <v>0.06622893835547139</v>
      </c>
      <c r="G25" s="431">
        <f>FruitCurrent!AH137</f>
        <v>943.6444965987249</v>
      </c>
      <c r="H25" s="431">
        <f t="shared" si="5"/>
        <v>8.928081884959541</v>
      </c>
      <c r="I25" s="360">
        <f t="shared" si="6"/>
        <v>151777392.0443122</v>
      </c>
      <c r="J25" s="1124">
        <f>FruitY!G32</f>
        <v>24795.328055183105</v>
      </c>
      <c r="K25" s="431">
        <f t="shared" si="8"/>
        <v>6121.209274042468</v>
      </c>
      <c r="L25" s="369">
        <f t="shared" si="9"/>
        <v>6.121209274042468</v>
      </c>
      <c r="M25" s="650">
        <f t="shared" si="10"/>
        <v>2.9301685503623855</v>
      </c>
      <c r="N25" s="275"/>
      <c r="O25" s="1009" t="s">
        <v>1045</v>
      </c>
    </row>
    <row r="26" spans="1:15" ht="12.75" customHeight="1">
      <c r="A26" s="262" t="s">
        <v>431</v>
      </c>
      <c r="B26" s="370">
        <f>FruitCurrent!AF140</f>
        <v>0.007238863884452555</v>
      </c>
      <c r="C26" s="371">
        <f>B26/SUM(B18:B27)</f>
        <v>0.021211091294576972</v>
      </c>
      <c r="D26" s="372">
        <f t="shared" si="7"/>
        <v>0.021211091294576972</v>
      </c>
      <c r="E26" s="662">
        <f>D26/SUM(D18:D27)</f>
        <v>0.02121109129457697</v>
      </c>
      <c r="F26" s="467">
        <f t="shared" si="4"/>
        <v>0.1484776390620388</v>
      </c>
      <c r="G26" s="431">
        <f>FruitCurrent!AH140</f>
        <v>291.7808405752181</v>
      </c>
      <c r="H26" s="431">
        <f t="shared" si="5"/>
        <v>6.18899004744936</v>
      </c>
      <c r="I26" s="360">
        <f t="shared" si="6"/>
        <v>105212830.80663912</v>
      </c>
      <c r="J26" s="1124">
        <f>FruitY!N40</f>
        <v>6691.8787224732</v>
      </c>
      <c r="K26" s="431">
        <f t="shared" si="8"/>
        <v>15722.465270224491</v>
      </c>
      <c r="L26" s="369">
        <f t="shared" si="9"/>
        <v>15.722465270224491</v>
      </c>
      <c r="M26" s="650">
        <f t="shared" si="10"/>
        <v>2.9301685503623855</v>
      </c>
      <c r="N26" s="275"/>
      <c r="O26" s="1009" t="s">
        <v>1045</v>
      </c>
    </row>
    <row r="27" spans="1:15" ht="12.75" customHeight="1">
      <c r="A27" s="262" t="s">
        <v>427</v>
      </c>
      <c r="B27" s="370">
        <f>FruitCurrent!AF143</f>
        <v>0.006918701654080109</v>
      </c>
      <c r="C27" s="373">
        <f>B27/SUM(B18:B27)</f>
        <v>0.02027296199612575</v>
      </c>
      <c r="D27" s="372">
        <f t="shared" si="7"/>
        <v>0.02027296199612575</v>
      </c>
      <c r="E27" s="662">
        <f>D27/SUM(D18:D27)</f>
        <v>0.020272961996125747</v>
      </c>
      <c r="F27" s="467">
        <f t="shared" si="4"/>
        <v>0.14191073397288026</v>
      </c>
      <c r="G27" s="431">
        <f>FruitCurrent!AH143</f>
        <v>169.38395226053123</v>
      </c>
      <c r="H27" s="431">
        <f t="shared" si="5"/>
        <v>3.433914426931328</v>
      </c>
      <c r="I27" s="360">
        <f t="shared" si="6"/>
        <v>58376545.25783258</v>
      </c>
      <c r="J27" s="1124">
        <f>FruitY!N41</f>
        <v>1592.0044252968</v>
      </c>
      <c r="K27" s="431">
        <f t="shared" si="8"/>
        <v>36668.58227919143</v>
      </c>
      <c r="L27" s="369">
        <f t="shared" si="9"/>
        <v>36.66858227919143</v>
      </c>
      <c r="M27" s="650">
        <f>D27/B27</f>
        <v>2.9301685503623855</v>
      </c>
      <c r="N27" s="275"/>
      <c r="O27" s="1009" t="s">
        <v>1045</v>
      </c>
    </row>
    <row r="28" spans="1:14" s="27" customFormat="1" ht="12.75">
      <c r="A28" s="663" t="s">
        <v>1164</v>
      </c>
      <c r="B28" s="664">
        <f>FruitCurrent!AF10</f>
        <v>0.3404374741909406</v>
      </c>
      <c r="C28" s="665"/>
      <c r="D28" s="666">
        <f>SUM(D18:D27)</f>
        <v>1.0000000000000002</v>
      </c>
      <c r="E28" s="667"/>
      <c r="F28" s="667"/>
      <c r="G28" s="668"/>
      <c r="H28" s="669">
        <f>SUM(H18:H27)</f>
        <v>392.7642306276668</v>
      </c>
      <c r="I28" s="670">
        <f>SUM(I18:I27)</f>
        <v>6676991920.670333</v>
      </c>
      <c r="J28" s="668"/>
      <c r="K28" s="669">
        <f>SUM(K18:K27)</f>
        <v>404379.0007432219</v>
      </c>
      <c r="L28" s="670">
        <f>SUM(L18:L27)</f>
        <v>404.3790007432219</v>
      </c>
      <c r="M28" s="671">
        <f>D28/B28</f>
        <v>2.937396954834449</v>
      </c>
      <c r="N28" s="244"/>
    </row>
    <row r="29" spans="1:14" ht="13.5" thickBot="1">
      <c r="A29" s="19"/>
      <c r="B29" s="428"/>
      <c r="C29" s="374"/>
      <c r="D29" s="429"/>
      <c r="E29" s="374"/>
      <c r="F29" s="374"/>
      <c r="G29" s="428"/>
      <c r="H29" s="428"/>
      <c r="I29" s="374"/>
      <c r="J29" s="428"/>
      <c r="K29" s="428"/>
      <c r="L29" s="374"/>
      <c r="M29" s="672"/>
      <c r="N29" s="19"/>
    </row>
    <row r="30" spans="1:14" s="8" customFormat="1" ht="13.5" thickBot="1">
      <c r="A30" s="673" t="s">
        <v>196</v>
      </c>
      <c r="B30" s="674">
        <f>B16+B28</f>
        <v>0.7756241618258259</v>
      </c>
      <c r="C30" s="675"/>
      <c r="D30" s="676">
        <v>2</v>
      </c>
      <c r="E30" s="677"/>
      <c r="F30" s="677"/>
      <c r="G30" s="678"/>
      <c r="H30" s="679">
        <f>H28+H16</f>
        <v>590.4734166078015</v>
      </c>
      <c r="I30" s="680">
        <f>I28+I16</f>
        <v>10038048082.332623</v>
      </c>
      <c r="J30" s="678"/>
      <c r="K30" s="679">
        <f>K28+K16</f>
        <v>901777.054332698</v>
      </c>
      <c r="L30" s="680">
        <f>L28+L16</f>
        <v>901.777054332698</v>
      </c>
      <c r="M30" s="687">
        <f>D30/B30</f>
        <v>2.5785684593579226</v>
      </c>
      <c r="N30" s="244"/>
    </row>
    <row r="31" spans="2:3" ht="12.75">
      <c r="B31" s="46"/>
      <c r="C31" s="46"/>
    </row>
    <row r="32" spans="2:3" ht="12.75">
      <c r="B32" s="46"/>
      <c r="C32" s="46"/>
    </row>
    <row r="33" spans="1:4" ht="12.75">
      <c r="A33" s="14" t="s">
        <v>829</v>
      </c>
      <c r="B33" s="176"/>
      <c r="C33" s="14"/>
      <c r="D33" s="24"/>
    </row>
    <row r="34" spans="1:3" ht="12.75">
      <c r="A34" s="14" t="s">
        <v>1182</v>
      </c>
      <c r="B34" s="14"/>
      <c r="C34" s="14"/>
    </row>
    <row r="35" spans="1:3" ht="12.75">
      <c r="A35" s="14" t="s">
        <v>1181</v>
      </c>
      <c r="B35" s="14"/>
      <c r="C35" s="14"/>
    </row>
    <row r="36" spans="1:3" ht="12.75">
      <c r="A36" s="14" t="s">
        <v>1180</v>
      </c>
      <c r="B36" s="14"/>
      <c r="C36" s="14"/>
    </row>
    <row r="37" spans="1:6" ht="12.75">
      <c r="A37" s="14"/>
      <c r="B37" s="14"/>
      <c r="C37" s="14"/>
      <c r="D37" s="33"/>
      <c r="E37" s="33"/>
      <c r="F37" s="33"/>
    </row>
    <row r="38" spans="1:6" ht="12.75">
      <c r="A38" s="14"/>
      <c r="B38" s="14"/>
      <c r="C38" s="14"/>
      <c r="D38" s="14"/>
      <c r="E38" s="61"/>
      <c r="F38" s="61"/>
    </row>
    <row r="39" spans="1:6" ht="12.75">
      <c r="A39" s="14"/>
      <c r="B39" s="14"/>
      <c r="C39" s="14"/>
      <c r="D39" s="24"/>
      <c r="E39" s="23"/>
      <c r="F39" s="23"/>
    </row>
    <row r="40" spans="1:6" ht="12.75">
      <c r="A40" s="14"/>
      <c r="B40" s="14"/>
      <c r="C40" s="14"/>
      <c r="D40" s="24"/>
      <c r="E40" s="23"/>
      <c r="F40" s="23"/>
    </row>
    <row r="41" spans="1:6" ht="12.75">
      <c r="A41" s="14"/>
      <c r="B41" s="14"/>
      <c r="C41" s="14"/>
      <c r="D41" s="46"/>
      <c r="E41" s="23"/>
      <c r="F41" s="23"/>
    </row>
    <row r="42" spans="1:6" ht="12.75">
      <c r="A42" s="14"/>
      <c r="B42" s="14"/>
      <c r="C42" s="14"/>
      <c r="D42" s="24"/>
      <c r="E42" s="23"/>
      <c r="F42" s="23"/>
    </row>
  </sheetData>
  <sheetProtection/>
  <mergeCells count="3">
    <mergeCell ref="K6:L6"/>
    <mergeCell ref="B6:C6"/>
    <mergeCell ref="D6:F6"/>
  </mergeCells>
  <printOptions/>
  <pageMargins left="0.7" right="0.7" top="0.75" bottom="0.75" header="0.3" footer="0.3"/>
  <pageSetup orientation="portrait"/>
  <ignoredErrors>
    <ignoredError sqref="D25:D27 D18:D23" formula="1"/>
  </ignoredErrors>
  <legacyDrawing r:id="rId2"/>
</worksheet>
</file>

<file path=xl/worksheets/sheet8.xml><?xml version="1.0" encoding="utf-8"?>
<worksheet xmlns="http://schemas.openxmlformats.org/spreadsheetml/2006/main" xmlns:r="http://schemas.openxmlformats.org/officeDocument/2006/relationships">
  <dimension ref="A1:AH157"/>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L20" sqref="AL20"/>
    </sheetView>
  </sheetViews>
  <sheetFormatPr defaultColWidth="11.421875" defaultRowHeight="12.75"/>
  <cols>
    <col min="1" max="1" width="23.8515625" style="19" customWidth="1"/>
    <col min="2" max="2" width="10.7109375" style="0" bestFit="1" customWidth="1"/>
    <col min="3" max="3" width="0.85546875" style="0" hidden="1" customWidth="1"/>
    <col min="4" max="4" width="9.140625" style="0" hidden="1" customWidth="1"/>
    <col min="5" max="5" width="0.42578125" style="0" hidden="1" customWidth="1"/>
    <col min="6" max="6" width="9.140625" style="0" hidden="1" customWidth="1"/>
    <col min="7" max="7" width="1.421875" style="0" hidden="1" customWidth="1"/>
    <col min="8" max="8" width="9.140625" style="0" hidden="1" customWidth="1"/>
    <col min="9" max="9" width="1.421875" style="0" hidden="1" customWidth="1"/>
    <col min="10" max="10" width="9.140625" style="0" hidden="1" customWidth="1"/>
    <col min="11" max="11" width="2.7109375" style="0" hidden="1" customWidth="1"/>
    <col min="12" max="14" width="9.140625" style="0" hidden="1" customWidth="1"/>
    <col min="15" max="15" width="0.42578125" style="0" hidden="1" customWidth="1"/>
    <col min="16" max="16" width="11.421875" style="0" customWidth="1"/>
    <col min="17" max="17" width="9.140625" style="0" hidden="1" customWidth="1"/>
    <col min="18" max="18" width="11.421875" style="0" customWidth="1"/>
    <col min="19" max="21" width="9.140625" style="0" hidden="1" customWidth="1"/>
    <col min="22" max="22" width="9.140625" style="0" customWidth="1"/>
    <col min="23" max="23" width="9.140625" style="0" hidden="1" customWidth="1"/>
    <col min="24" max="24" width="9.140625" style="0" customWidth="1"/>
    <col min="25" max="27" width="9.140625" style="0" hidden="1" customWidth="1"/>
    <col min="28" max="28" width="9.140625" style="27" hidden="1" customWidth="1"/>
    <col min="29" max="29" width="9.140625" style="0" hidden="1" customWidth="1"/>
    <col min="30" max="30" width="11.421875" style="0" customWidth="1"/>
    <col min="31" max="31" width="9.140625" style="0" hidden="1" customWidth="1"/>
    <col min="32" max="32" width="11.421875" style="0" customWidth="1"/>
    <col min="33" max="33" width="9.140625" style="0" hidden="1" customWidth="1"/>
    <col min="34" max="34" width="14.00390625" style="0" customWidth="1"/>
  </cols>
  <sheetData>
    <row r="1" ht="15.75">
      <c r="A1" s="113" t="s">
        <v>566</v>
      </c>
    </row>
    <row r="2" ht="12.75">
      <c r="A2" s="14" t="s">
        <v>200</v>
      </c>
    </row>
    <row r="3" ht="12.75">
      <c r="A3" s="14"/>
    </row>
    <row r="4" spans="1:34" s="702" customFormat="1" ht="12" customHeight="1">
      <c r="A4" s="1217"/>
      <c r="B4" s="1195" t="s">
        <v>124</v>
      </c>
      <c r="C4" s="1196"/>
      <c r="D4" s="1201" t="s">
        <v>125</v>
      </c>
      <c r="E4" s="1220"/>
      <c r="F4" s="1195" t="s">
        <v>126</v>
      </c>
      <c r="G4" s="1196"/>
      <c r="H4" s="1195" t="s">
        <v>127</v>
      </c>
      <c r="I4" s="1196"/>
      <c r="J4" s="1195" t="s">
        <v>128</v>
      </c>
      <c r="K4" s="1196"/>
      <c r="L4" s="1225" t="s">
        <v>129</v>
      </c>
      <c r="M4" s="1226"/>
      <c r="N4" s="1226"/>
      <c r="O4" s="1227"/>
      <c r="P4" s="1195" t="s">
        <v>130</v>
      </c>
      <c r="Q4" s="1196"/>
      <c r="R4" s="1201" t="s">
        <v>131</v>
      </c>
      <c r="S4" s="1228"/>
      <c r="T4" s="1228"/>
      <c r="U4" s="1228"/>
      <c r="V4" s="1228"/>
      <c r="W4" s="1228"/>
      <c r="X4" s="1228"/>
      <c r="Y4" s="1220"/>
      <c r="Z4" s="1195" t="s">
        <v>562</v>
      </c>
      <c r="AA4" s="1196"/>
      <c r="AB4" s="1195" t="s">
        <v>563</v>
      </c>
      <c r="AC4" s="1196"/>
      <c r="AD4" s="1201" t="s">
        <v>132</v>
      </c>
      <c r="AE4" s="1220"/>
      <c r="AF4" s="1201" t="s">
        <v>564</v>
      </c>
      <c r="AG4" s="1220"/>
      <c r="AH4" s="1231" t="s">
        <v>45</v>
      </c>
    </row>
    <row r="5" spans="1:34" s="702" customFormat="1" ht="12" customHeight="1">
      <c r="A5" s="1218"/>
      <c r="B5" s="1197"/>
      <c r="C5" s="1198"/>
      <c r="D5" s="1221"/>
      <c r="E5" s="1222"/>
      <c r="F5" s="1197"/>
      <c r="G5" s="1198"/>
      <c r="H5" s="1197"/>
      <c r="I5" s="1198"/>
      <c r="J5" s="1197"/>
      <c r="K5" s="1198"/>
      <c r="L5" s="1195" t="s">
        <v>133</v>
      </c>
      <c r="M5" s="1196"/>
      <c r="N5" s="1195" t="s">
        <v>134</v>
      </c>
      <c r="O5" s="1196"/>
      <c r="P5" s="1197"/>
      <c r="Q5" s="1198"/>
      <c r="R5" s="1221"/>
      <c r="S5" s="1229"/>
      <c r="T5" s="1229"/>
      <c r="U5" s="1229"/>
      <c r="V5" s="1229"/>
      <c r="W5" s="1229"/>
      <c r="X5" s="1229"/>
      <c r="Y5" s="1222"/>
      <c r="Z5" s="1197"/>
      <c r="AA5" s="1198"/>
      <c r="AB5" s="1197"/>
      <c r="AC5" s="1198"/>
      <c r="AD5" s="1221"/>
      <c r="AE5" s="1222"/>
      <c r="AF5" s="1221"/>
      <c r="AG5" s="1222"/>
      <c r="AH5" s="1232"/>
    </row>
    <row r="6" spans="1:34" s="702" customFormat="1" ht="12" customHeight="1">
      <c r="A6" s="1218"/>
      <c r="B6" s="1197"/>
      <c r="C6" s="1198"/>
      <c r="D6" s="1221"/>
      <c r="E6" s="1222"/>
      <c r="F6" s="1197"/>
      <c r="G6" s="1198"/>
      <c r="H6" s="1197"/>
      <c r="I6" s="1198"/>
      <c r="J6" s="1197"/>
      <c r="K6" s="1198"/>
      <c r="L6" s="1197"/>
      <c r="M6" s="1198"/>
      <c r="N6" s="1197"/>
      <c r="O6" s="1198"/>
      <c r="P6" s="1197"/>
      <c r="Q6" s="1198"/>
      <c r="R6" s="1221"/>
      <c r="S6" s="1229"/>
      <c r="T6" s="1229"/>
      <c r="U6" s="1229"/>
      <c r="V6" s="1229"/>
      <c r="W6" s="1229"/>
      <c r="X6" s="1229"/>
      <c r="Y6" s="1222"/>
      <c r="Z6" s="1197"/>
      <c r="AA6" s="1198"/>
      <c r="AB6" s="1197"/>
      <c r="AC6" s="1198"/>
      <c r="AD6" s="1221"/>
      <c r="AE6" s="1222"/>
      <c r="AF6" s="1221"/>
      <c r="AG6" s="1222"/>
      <c r="AH6" s="1232"/>
    </row>
    <row r="7" spans="1:34" s="702" customFormat="1" ht="19.5" customHeight="1">
      <c r="A7" s="1219"/>
      <c r="B7" s="1199"/>
      <c r="C7" s="1200"/>
      <c r="D7" s="1223"/>
      <c r="E7" s="1224"/>
      <c r="F7" s="1199"/>
      <c r="G7" s="1200"/>
      <c r="H7" s="1199"/>
      <c r="I7" s="1200"/>
      <c r="J7" s="1199"/>
      <c r="K7" s="1200"/>
      <c r="L7" s="1199"/>
      <c r="M7" s="1200"/>
      <c r="N7" s="1199"/>
      <c r="O7" s="1200"/>
      <c r="P7" s="1199"/>
      <c r="Q7" s="1200"/>
      <c r="R7" s="1223"/>
      <c r="S7" s="1230"/>
      <c r="T7" s="1230"/>
      <c r="U7" s="1230"/>
      <c r="V7" s="1230"/>
      <c r="W7" s="1230"/>
      <c r="X7" s="1230"/>
      <c r="Y7" s="1224"/>
      <c r="Z7" s="1199"/>
      <c r="AA7" s="1200"/>
      <c r="AB7" s="1199"/>
      <c r="AC7" s="1200"/>
      <c r="AD7" s="1223"/>
      <c r="AE7" s="1224"/>
      <c r="AF7" s="1223"/>
      <c r="AG7" s="1224"/>
      <c r="AH7" s="1233"/>
    </row>
    <row r="8" spans="1:34" s="702" customFormat="1" ht="12" customHeight="1">
      <c r="A8" s="333"/>
      <c r="B8" s="1189" t="s">
        <v>477</v>
      </c>
      <c r="C8" s="1189"/>
      <c r="D8" s="1189" t="s">
        <v>478</v>
      </c>
      <c r="E8" s="1189"/>
      <c r="F8" s="1189" t="s">
        <v>477</v>
      </c>
      <c r="G8" s="1189"/>
      <c r="H8" s="1189" t="s">
        <v>478</v>
      </c>
      <c r="I8" s="1189"/>
      <c r="J8" s="1189" t="s">
        <v>477</v>
      </c>
      <c r="K8" s="1189"/>
      <c r="L8" s="1189" t="s">
        <v>478</v>
      </c>
      <c r="M8" s="1189"/>
      <c r="N8" s="1189" t="s">
        <v>478</v>
      </c>
      <c r="O8" s="1189"/>
      <c r="P8" s="1189" t="s">
        <v>478</v>
      </c>
      <c r="Q8" s="1189"/>
      <c r="R8" s="1189" t="s">
        <v>477</v>
      </c>
      <c r="S8" s="1189"/>
      <c r="T8" s="1189" t="s">
        <v>567</v>
      </c>
      <c r="U8" s="1189"/>
      <c r="V8" s="1189" t="s">
        <v>66</v>
      </c>
      <c r="W8" s="1189"/>
      <c r="X8" s="1189" t="s">
        <v>479</v>
      </c>
      <c r="Y8" s="1189"/>
      <c r="Z8" s="1189" t="s">
        <v>480</v>
      </c>
      <c r="AA8" s="1189"/>
      <c r="AB8" s="1234" t="s">
        <v>135</v>
      </c>
      <c r="AC8" s="1234"/>
      <c r="AD8" s="1189" t="s">
        <v>480</v>
      </c>
      <c r="AE8" s="1189"/>
      <c r="AF8" s="1228" t="s">
        <v>136</v>
      </c>
      <c r="AG8" s="1220"/>
      <c r="AH8" s="703" t="s">
        <v>828</v>
      </c>
    </row>
    <row r="9" spans="1:34" ht="12.75">
      <c r="A9" s="243" t="s">
        <v>1161</v>
      </c>
      <c r="B9" s="208">
        <f>B23+B28+B33+B38+B45+B51+B56+B58+B66+B73+B76+B79+B87+B90+B93+B98</f>
        <v>119.08375614078058</v>
      </c>
      <c r="C9" s="208"/>
      <c r="D9" s="208"/>
      <c r="E9" s="208"/>
      <c r="F9" s="208"/>
      <c r="G9" s="208"/>
      <c r="H9" s="208"/>
      <c r="I9" s="208"/>
      <c r="J9" s="208"/>
      <c r="K9" s="208"/>
      <c r="L9" s="208"/>
      <c r="M9" s="208"/>
      <c r="N9" s="208"/>
      <c r="O9" s="208"/>
      <c r="P9" s="41">
        <f>1-(R9/B9)</f>
        <v>0.49346656453494486</v>
      </c>
      <c r="Q9" s="208"/>
      <c r="R9" s="208">
        <f>R23+R28+R33+R38+R45+R51+R56+R58+R66+R73+R76+R79+R87+R90+R93+R98</f>
        <v>60.31990410607244</v>
      </c>
      <c r="S9" s="208"/>
      <c r="T9" s="208"/>
      <c r="U9" s="208"/>
      <c r="V9" s="208">
        <f>V23+V28+V33+V38+V45+V51+V56+V58+V66+V73+V76+V79+V87+V90+V93+V98</f>
        <v>2.6441601799922165</v>
      </c>
      <c r="W9" s="208"/>
      <c r="X9" s="208">
        <f>X23+X28+X33+X38+X45+X51+X56+X58+X66+X73+X76+X79+X87+X90+X93+X98</f>
        <v>74.96061902268933</v>
      </c>
      <c r="Y9" s="208"/>
      <c r="Z9" s="208"/>
      <c r="AA9" s="208"/>
      <c r="AB9" s="403"/>
      <c r="AC9" s="208"/>
      <c r="AD9" s="208">
        <f>AD23+AD28+AD33+AD38+AD45+AD51+AD56+AD58+AD66+AD73+AD76+AD79+AD87+AD90+AD93+AD98</f>
        <v>36.299170666533755</v>
      </c>
      <c r="AE9" s="208"/>
      <c r="AF9" s="208">
        <f>AF23+AF28+AF33+AF38+AF45+AF51+AF56+AF58+AF66+AF73+AF76+AF79+AF87+AF90+AF93+AF98</f>
        <v>0.4351866876348854</v>
      </c>
      <c r="AH9" s="129">
        <f>B9/AF9</f>
        <v>273.6383247106353</v>
      </c>
    </row>
    <row r="10" spans="1:34" ht="12.75">
      <c r="A10" s="8" t="s">
        <v>1164</v>
      </c>
      <c r="B10" s="208">
        <f>B104+B107+B113+B116+B121+B134+B137+B140+B143+B146+B149+B152+B155</f>
        <v>129.3854380111266</v>
      </c>
      <c r="C10" s="208"/>
      <c r="D10" s="208"/>
      <c r="E10" s="208"/>
      <c r="F10" s="208"/>
      <c r="G10" s="208"/>
      <c r="H10" s="208"/>
      <c r="I10" s="208"/>
      <c r="J10" s="208"/>
      <c r="K10" s="208"/>
      <c r="L10" s="208"/>
      <c r="M10" s="208"/>
      <c r="N10" s="208"/>
      <c r="O10" s="208"/>
      <c r="P10" s="41">
        <f>1-(R10/B10)</f>
        <v>0.562951467233638</v>
      </c>
      <c r="Q10" s="208"/>
      <c r="R10" s="208">
        <f>R104+R107+R113+R116+R121+R134+R137+R140+R143+R146+R149+R152+R155</f>
        <v>56.54771584409596</v>
      </c>
      <c r="S10" s="208"/>
      <c r="T10" s="208"/>
      <c r="U10" s="208"/>
      <c r="V10" s="208">
        <f>V104+V107+V113+V116+V121+V134+V137+V140+V143+V146+V149+V152+V155</f>
        <v>2.478803982206947</v>
      </c>
      <c r="W10" s="208"/>
      <c r="X10" s="208">
        <f>X104+X107+X113+X116+X121+X134+X137+X140+X143+X146+X149+X152+X155</f>
        <v>70.27285349357581</v>
      </c>
      <c r="Y10" s="208"/>
      <c r="Z10" s="208"/>
      <c r="AA10" s="208"/>
      <c r="AB10" s="403"/>
      <c r="AC10" s="208"/>
      <c r="AD10" s="208">
        <f>AD104+AD107+AD113+AD116+AD121+AD134+AD137+AD140+AD143+AD146+AD149+AD152+AD155</f>
        <v>42.71010726015739</v>
      </c>
      <c r="AE10" s="208"/>
      <c r="AF10" s="208">
        <f>AF104+AF107+AF113+AF116+AF121+AF134+AF137+AF140+AF143+AF146+AF149+AF152+AF155</f>
        <v>0.3404374741909406</v>
      </c>
      <c r="AH10" s="129">
        <f>B10/AF10</f>
        <v>380.0563916138046</v>
      </c>
    </row>
    <row r="11" spans="1:34" ht="12.75">
      <c r="A11" s="245" t="s">
        <v>467</v>
      </c>
      <c r="B11" s="259">
        <f>B10+B9</f>
        <v>248.46919415190717</v>
      </c>
      <c r="C11" s="12"/>
      <c r="D11" s="12"/>
      <c r="E11" s="12"/>
      <c r="F11" s="12"/>
      <c r="G11" s="12"/>
      <c r="H11" s="12"/>
      <c r="I11" s="12"/>
      <c r="J11" s="12"/>
      <c r="K11" s="12"/>
      <c r="L11" s="12"/>
      <c r="M11" s="12"/>
      <c r="N11" s="12"/>
      <c r="O11" s="12"/>
      <c r="P11" s="310">
        <f>1-(R11/B11)</f>
        <v>0.529649458762607</v>
      </c>
      <c r="Q11" s="12"/>
      <c r="R11" s="259">
        <f>R10+R9</f>
        <v>116.8676199501684</v>
      </c>
      <c r="S11" s="12"/>
      <c r="T11" s="12"/>
      <c r="U11" s="12"/>
      <c r="V11" s="259">
        <f>V10+V9</f>
        <v>5.122964162199164</v>
      </c>
      <c r="W11" s="12"/>
      <c r="X11" s="259">
        <f>X10+X9</f>
        <v>145.23347251626512</v>
      </c>
      <c r="Y11" s="12"/>
      <c r="Z11" s="12"/>
      <c r="AA11" s="12"/>
      <c r="AB11" s="11"/>
      <c r="AC11" s="12"/>
      <c r="AD11" s="259">
        <f>AD10+AD9</f>
        <v>79.00927792669114</v>
      </c>
      <c r="AE11" s="12"/>
      <c r="AF11" s="259">
        <f>AF10+AF9</f>
        <v>0.7756241618258259</v>
      </c>
      <c r="AH11" s="335">
        <f>B11/AF11</f>
        <v>320.3474135810939</v>
      </c>
    </row>
    <row r="12" spans="1:34" ht="12.75">
      <c r="A12" s="243"/>
      <c r="B12" s="70"/>
      <c r="C12" s="4"/>
      <c r="D12" s="4"/>
      <c r="E12" s="4"/>
      <c r="F12" s="4"/>
      <c r="G12" s="4"/>
      <c r="H12" s="4"/>
      <c r="I12" s="4"/>
      <c r="J12" s="4"/>
      <c r="K12" s="4"/>
      <c r="L12" s="4"/>
      <c r="M12" s="4"/>
      <c r="N12" s="4"/>
      <c r="O12" s="4"/>
      <c r="P12" s="22"/>
      <c r="Q12" s="4"/>
      <c r="R12" s="70"/>
      <c r="S12" s="4"/>
      <c r="T12" s="4"/>
      <c r="U12" s="4"/>
      <c r="V12" s="70"/>
      <c r="W12" s="4"/>
      <c r="X12" s="70"/>
      <c r="Y12" s="4"/>
      <c r="Z12" s="4"/>
      <c r="AA12" s="4"/>
      <c r="AB12" s="6"/>
      <c r="AC12" s="4"/>
      <c r="AD12" s="70"/>
      <c r="AE12" s="4"/>
      <c r="AF12" s="70"/>
      <c r="AH12" s="129"/>
    </row>
    <row r="13" spans="1:34" ht="12.75">
      <c r="A13" s="243" t="s">
        <v>103</v>
      </c>
      <c r="B13" s="70">
        <f>B22+B32+B37+B103+B112+B120+B128+B133</f>
        <v>102.35150714792279</v>
      </c>
      <c r="C13" s="4"/>
      <c r="D13" s="4"/>
      <c r="E13" s="4"/>
      <c r="F13" s="4"/>
      <c r="G13" s="4"/>
      <c r="H13" s="4"/>
      <c r="I13" s="4"/>
      <c r="J13" s="4"/>
      <c r="K13" s="4"/>
      <c r="L13" s="4"/>
      <c r="M13" s="4"/>
      <c r="N13" s="4"/>
      <c r="O13" s="4"/>
      <c r="P13" s="22"/>
      <c r="Q13" s="4"/>
      <c r="R13" s="70">
        <f>R22+R32+R37+R103+R112+R120+R128+R133</f>
        <v>57.84683043893644</v>
      </c>
      <c r="S13" s="4"/>
      <c r="T13" s="4"/>
      <c r="U13" s="4"/>
      <c r="V13" s="70">
        <f>V22+V32+V37+V103+V112+V120+V128+V133</f>
        <v>2.5357514712958436</v>
      </c>
      <c r="W13" s="4"/>
      <c r="X13" s="70">
        <f>X22+X32+X37+X103+X112+X120+X128+X133</f>
        <v>71.88728633550153</v>
      </c>
      <c r="Y13" s="4"/>
      <c r="Z13" s="4"/>
      <c r="AA13" s="4"/>
      <c r="AB13" s="6"/>
      <c r="AC13" s="4"/>
      <c r="AD13" s="70">
        <f>AD22+AD32+AD37+AD103+AD112+AD120+AD128+AD133</f>
        <v>33.53733626442768</v>
      </c>
      <c r="AE13" s="4"/>
      <c r="AF13" s="70">
        <f>AF22+AF32+AF37+AF103+AF112+AF120+AF128+AF133</f>
        <v>0.28879149578350827</v>
      </c>
      <c r="AH13" s="129">
        <f>B13/AF13</f>
        <v>354.41316189120164</v>
      </c>
    </row>
    <row r="14" spans="1:34" ht="12.75">
      <c r="A14" s="243" t="s">
        <v>568</v>
      </c>
      <c r="B14" s="70">
        <f>B11-B13</f>
        <v>146.11768700398437</v>
      </c>
      <c r="C14" s="4"/>
      <c r="D14" s="4"/>
      <c r="E14" s="4"/>
      <c r="F14" s="4"/>
      <c r="G14" s="4"/>
      <c r="H14" s="4"/>
      <c r="I14" s="4"/>
      <c r="J14" s="4"/>
      <c r="K14" s="4"/>
      <c r="L14" s="4"/>
      <c r="M14" s="4"/>
      <c r="N14" s="4"/>
      <c r="O14" s="4"/>
      <c r="P14" s="22"/>
      <c r="Q14" s="4"/>
      <c r="R14" s="70">
        <f>R11-R13</f>
        <v>59.02078951123196</v>
      </c>
      <c r="S14" s="4"/>
      <c r="T14" s="4"/>
      <c r="U14" s="4"/>
      <c r="V14" s="70">
        <f>V11-V13</f>
        <v>2.5872126909033204</v>
      </c>
      <c r="W14" s="4"/>
      <c r="X14" s="70">
        <f>X11-X13</f>
        <v>73.3461861807636</v>
      </c>
      <c r="Y14" s="4"/>
      <c r="Z14" s="4"/>
      <c r="AA14" s="4"/>
      <c r="AB14" s="6"/>
      <c r="AC14" s="4"/>
      <c r="AD14" s="70">
        <f>AD11-AD13</f>
        <v>45.47194166226346</v>
      </c>
      <c r="AE14" s="4"/>
      <c r="AF14" s="70">
        <f>AF11-AF13</f>
        <v>0.4868326660423177</v>
      </c>
      <c r="AH14" s="129">
        <f>B14/AF14</f>
        <v>300.139446664171</v>
      </c>
    </row>
    <row r="15" spans="1:34" ht="12.75">
      <c r="A15" s="245" t="s">
        <v>467</v>
      </c>
      <c r="B15" s="259">
        <f>B14+B13</f>
        <v>248.46919415190717</v>
      </c>
      <c r="C15" s="12"/>
      <c r="D15" s="12"/>
      <c r="E15" s="12"/>
      <c r="F15" s="12"/>
      <c r="G15" s="12"/>
      <c r="H15" s="12"/>
      <c r="I15" s="12"/>
      <c r="J15" s="12"/>
      <c r="K15" s="12"/>
      <c r="L15" s="12"/>
      <c r="M15" s="12"/>
      <c r="N15" s="12"/>
      <c r="O15" s="12"/>
      <c r="P15" s="310">
        <f>1-(R15/B15)</f>
        <v>0.529649458762607</v>
      </c>
      <c r="Q15" s="12"/>
      <c r="R15" s="259">
        <f>R14+R13</f>
        <v>116.8676199501684</v>
      </c>
      <c r="S15" s="12"/>
      <c r="T15" s="12"/>
      <c r="U15" s="12"/>
      <c r="V15" s="259">
        <f>V14+V13</f>
        <v>5.122964162199164</v>
      </c>
      <c r="W15" s="12"/>
      <c r="X15" s="259">
        <f>X14+X13</f>
        <v>145.23347251626512</v>
      </c>
      <c r="Y15" s="12"/>
      <c r="Z15" s="12"/>
      <c r="AA15" s="12"/>
      <c r="AB15" s="11"/>
      <c r="AC15" s="12"/>
      <c r="AD15" s="259">
        <f>AD14+AD13</f>
        <v>79.00927792669114</v>
      </c>
      <c r="AE15" s="12"/>
      <c r="AF15" s="259">
        <f>AF14+AF13</f>
        <v>0.7756241618258259</v>
      </c>
      <c r="AH15" s="335">
        <f>B15/AF15</f>
        <v>320.3474135810939</v>
      </c>
    </row>
    <row r="16" spans="1:32" ht="12.75">
      <c r="A16" s="8"/>
      <c r="B16" s="208"/>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403"/>
      <c r="AC16" s="208"/>
      <c r="AD16" s="208"/>
      <c r="AE16" s="208"/>
      <c r="AF16" s="208"/>
    </row>
    <row r="17" spans="1:32" ht="12.75">
      <c r="A17" s="8" t="s">
        <v>98</v>
      </c>
      <c r="B17" s="208"/>
      <c r="C17" s="208"/>
      <c r="D17" s="208"/>
      <c r="E17" s="208"/>
      <c r="F17" s="208"/>
      <c r="G17" s="208"/>
      <c r="H17" s="208"/>
      <c r="I17" s="208"/>
      <c r="J17" s="208"/>
      <c r="K17" s="208"/>
      <c r="L17" s="208"/>
      <c r="M17" s="208"/>
      <c r="N17" s="208"/>
      <c r="O17" s="208"/>
      <c r="P17" s="41"/>
      <c r="Q17" s="208"/>
      <c r="R17" s="208"/>
      <c r="S17" s="208"/>
      <c r="T17" s="208"/>
      <c r="U17" s="208"/>
      <c r="V17" s="208"/>
      <c r="W17" s="208"/>
      <c r="X17" s="208"/>
      <c r="Y17" s="208"/>
      <c r="Z17" s="208"/>
      <c r="AA17" s="208"/>
      <c r="AB17" s="403"/>
      <c r="AC17" s="208"/>
      <c r="AD17" s="208"/>
      <c r="AE17" s="208"/>
      <c r="AF17" s="208"/>
    </row>
    <row r="18" spans="1:32" ht="12.75">
      <c r="A18" s="14" t="s">
        <v>85</v>
      </c>
      <c r="B18" s="208">
        <v>16.345637175774506</v>
      </c>
      <c r="C18" s="208"/>
      <c r="D18" s="208">
        <v>4</v>
      </c>
      <c r="E18" s="208"/>
      <c r="F18" s="208">
        <v>15.691811688743524</v>
      </c>
      <c r="G18" s="208"/>
      <c r="H18" s="208">
        <v>8.619981232754515</v>
      </c>
      <c r="I18" s="208"/>
      <c r="J18" s="208">
        <v>14.339180466094657</v>
      </c>
      <c r="K18" s="208"/>
      <c r="L18" s="208">
        <v>10</v>
      </c>
      <c r="M18" s="208"/>
      <c r="N18" s="208">
        <v>20</v>
      </c>
      <c r="O18" s="208"/>
      <c r="P18" s="41">
        <f>0.01*38.592627388411</f>
        <v>0.38592627388411005</v>
      </c>
      <c r="Q18" s="208"/>
      <c r="R18" s="208">
        <v>10.03742632626626</v>
      </c>
      <c r="S18" s="208"/>
      <c r="T18" s="208"/>
      <c r="U18" s="208"/>
      <c r="V18" s="208">
        <v>0.4399967704664662</v>
      </c>
      <c r="W18" s="208"/>
      <c r="X18" s="208">
        <v>12.473688444339084</v>
      </c>
      <c r="Y18" s="208"/>
      <c r="Z18" s="208">
        <v>58.3</v>
      </c>
      <c r="AA18" s="208"/>
      <c r="AB18" s="403">
        <v>111.6</v>
      </c>
      <c r="AC18" s="208"/>
      <c r="AD18" s="208">
        <v>6.516272726747029</v>
      </c>
      <c r="AE18" s="208"/>
      <c r="AF18" s="208">
        <v>0.11177140183099539</v>
      </c>
    </row>
    <row r="19" spans="1:32" ht="12.75">
      <c r="A19" s="14" t="s">
        <v>86</v>
      </c>
      <c r="B19" s="208">
        <v>4.156237849200584</v>
      </c>
      <c r="C19" s="208"/>
      <c r="D19" s="208">
        <v>20</v>
      </c>
      <c r="E19" s="208"/>
      <c r="F19" s="208">
        <v>3.324990279360466</v>
      </c>
      <c r="G19" s="208"/>
      <c r="H19" s="208">
        <v>6</v>
      </c>
      <c r="I19" s="208"/>
      <c r="J19" s="208">
        <v>3.1254908625988382</v>
      </c>
      <c r="K19" s="208"/>
      <c r="L19" s="208">
        <v>0</v>
      </c>
      <c r="M19" s="208"/>
      <c r="N19" s="208">
        <v>8</v>
      </c>
      <c r="O19" s="208"/>
      <c r="P19" s="41">
        <f>0.01*30.816</f>
        <v>0.30816</v>
      </c>
      <c r="Q19" s="208"/>
      <c r="R19" s="208">
        <v>2.875451593590931</v>
      </c>
      <c r="S19" s="208"/>
      <c r="T19" s="208"/>
      <c r="U19" s="208"/>
      <c r="V19" s="208">
        <v>0.12604719314371204</v>
      </c>
      <c r="W19" s="208"/>
      <c r="X19" s="208">
        <v>3.573374902027665</v>
      </c>
      <c r="Y19" s="208"/>
      <c r="Z19" s="208">
        <v>102</v>
      </c>
      <c r="AA19" s="208"/>
      <c r="AB19" s="403">
        <v>244</v>
      </c>
      <c r="AC19" s="208"/>
      <c r="AD19" s="208">
        <v>1.4937878688804171</v>
      </c>
      <c r="AE19" s="208"/>
      <c r="AF19" s="208">
        <v>0.014644979106670755</v>
      </c>
    </row>
    <row r="20" spans="1:32" ht="12.75">
      <c r="A20" s="14" t="s">
        <v>87</v>
      </c>
      <c r="B20" s="208">
        <v>0.04452596618127151</v>
      </c>
      <c r="C20" s="208"/>
      <c r="D20" s="208">
        <v>40.11976047904191</v>
      </c>
      <c r="E20" s="208"/>
      <c r="F20" s="208">
        <v>0.02666225519836618</v>
      </c>
      <c r="G20" s="208"/>
      <c r="H20" s="208">
        <v>6</v>
      </c>
      <c r="I20" s="208"/>
      <c r="J20" s="208">
        <v>0.025062519886464206</v>
      </c>
      <c r="K20" s="208"/>
      <c r="L20" s="208">
        <v>0</v>
      </c>
      <c r="M20" s="208"/>
      <c r="N20" s="208">
        <v>35</v>
      </c>
      <c r="O20" s="208"/>
      <c r="P20" s="41">
        <f>0.01*63.4131736526946</f>
        <v>0.634131736526946</v>
      </c>
      <c r="Q20" s="208"/>
      <c r="R20" s="208">
        <v>0.01629063792620174</v>
      </c>
      <c r="S20" s="208"/>
      <c r="T20" s="208"/>
      <c r="U20" s="208"/>
      <c r="V20" s="208">
        <v>0.0007141101556691174</v>
      </c>
      <c r="W20" s="208"/>
      <c r="X20" s="208">
        <v>0.02024466585814164</v>
      </c>
      <c r="Y20" s="208"/>
      <c r="Z20" s="208">
        <v>83</v>
      </c>
      <c r="AA20" s="208"/>
      <c r="AB20" s="403">
        <v>173</v>
      </c>
      <c r="AC20" s="208"/>
      <c r="AD20" s="208">
        <v>0.00971275876431073</v>
      </c>
      <c r="AE20" s="208"/>
      <c r="AF20" s="208">
        <v>0.00011702118993145456</v>
      </c>
    </row>
    <row r="21" spans="1:32" ht="12.75">
      <c r="A21" s="14" t="s">
        <v>96</v>
      </c>
      <c r="B21" s="208">
        <v>0.9065006359593581</v>
      </c>
      <c r="C21" s="208"/>
      <c r="D21" s="208">
        <v>87.5</v>
      </c>
      <c r="E21" s="208"/>
      <c r="F21" s="208">
        <v>0.1133125794949198</v>
      </c>
      <c r="G21" s="208"/>
      <c r="H21" s="208">
        <v>6</v>
      </c>
      <c r="I21" s="208"/>
      <c r="J21" s="208">
        <v>0.10651382472522461</v>
      </c>
      <c r="K21" s="208"/>
      <c r="L21" s="208">
        <v>0</v>
      </c>
      <c r="M21" s="208"/>
      <c r="N21" s="208">
        <v>11</v>
      </c>
      <c r="O21" s="208"/>
      <c r="P21" s="41">
        <f>0.01*89.5425</f>
        <v>0.895425</v>
      </c>
      <c r="Q21" s="208"/>
      <c r="R21" s="208">
        <v>0.0947973040054499</v>
      </c>
      <c r="S21" s="208"/>
      <c r="T21" s="208"/>
      <c r="U21" s="208"/>
      <c r="V21" s="208">
        <v>0.004155498257773146</v>
      </c>
      <c r="W21" s="208"/>
      <c r="X21" s="208">
        <v>0.11780629785873979</v>
      </c>
      <c r="Y21" s="208"/>
      <c r="Z21" s="208">
        <v>104</v>
      </c>
      <c r="AA21" s="208"/>
      <c r="AB21" s="403">
        <v>43</v>
      </c>
      <c r="AC21" s="208"/>
      <c r="AD21" s="208">
        <v>0.2849268599374172</v>
      </c>
      <c r="AE21" s="208"/>
      <c r="AF21" s="208">
        <v>0.0027396813455520886</v>
      </c>
    </row>
    <row r="22" spans="1:32" ht="12.75">
      <c r="A22" s="14" t="s">
        <v>103</v>
      </c>
      <c r="B22" s="208">
        <v>26.014954522888424</v>
      </c>
      <c r="C22" s="208"/>
      <c r="D22" s="208">
        <v>26.666666666666664</v>
      </c>
      <c r="E22" s="208"/>
      <c r="F22" s="208">
        <v>19.077633316784844</v>
      </c>
      <c r="G22" s="208"/>
      <c r="H22" s="208">
        <v>6</v>
      </c>
      <c r="I22" s="208"/>
      <c r="J22" s="208">
        <v>17.932975317777753</v>
      </c>
      <c r="K22" s="208"/>
      <c r="L22" s="208">
        <v>0</v>
      </c>
      <c r="M22" s="208"/>
      <c r="N22" s="208">
        <v>10</v>
      </c>
      <c r="O22" s="208"/>
      <c r="P22" s="41">
        <f>0.01*37.96</f>
        <v>0.3796</v>
      </c>
      <c r="Q22" s="208"/>
      <c r="R22" s="208">
        <v>16.13967778599998</v>
      </c>
      <c r="S22" s="208"/>
      <c r="T22" s="208">
        <v>1.834054293863634</v>
      </c>
      <c r="U22" s="208"/>
      <c r="V22" s="208">
        <v>0.7074927248657525</v>
      </c>
      <c r="W22" s="208"/>
      <c r="X22" s="208">
        <v>20.057065003581652</v>
      </c>
      <c r="Y22" s="208"/>
      <c r="Z22" s="208">
        <v>114</v>
      </c>
      <c r="AA22" s="208"/>
      <c r="AB22" s="403">
        <v>248</v>
      </c>
      <c r="AC22" s="208"/>
      <c r="AD22" s="208">
        <v>9.219779880678661</v>
      </c>
      <c r="AE22" s="208"/>
      <c r="AF22" s="208">
        <v>0.08087526211121633</v>
      </c>
    </row>
    <row r="23" spans="1:34" ht="12.75">
      <c r="A23" s="112"/>
      <c r="B23" s="309">
        <f>SUM(B18:B22)</f>
        <v>47.46785615000414</v>
      </c>
      <c r="C23" s="309"/>
      <c r="D23" s="309"/>
      <c r="E23" s="309"/>
      <c r="F23" s="309"/>
      <c r="G23" s="309"/>
      <c r="H23" s="309"/>
      <c r="I23" s="309"/>
      <c r="J23" s="309"/>
      <c r="K23" s="309"/>
      <c r="L23" s="309"/>
      <c r="M23" s="309"/>
      <c r="N23" s="309"/>
      <c r="O23" s="309"/>
      <c r="P23" s="334">
        <f>1-(R23/B23)</f>
        <v>0.3856127911985703</v>
      </c>
      <c r="Q23" s="309"/>
      <c r="R23" s="309">
        <f>SUM(R18:R22)</f>
        <v>29.163643647788824</v>
      </c>
      <c r="S23" s="309">
        <f aca="true" t="shared" si="0" ref="S23:AE23">SUM(S18:S22)</f>
        <v>0</v>
      </c>
      <c r="T23" s="309">
        <f t="shared" si="0"/>
        <v>1.834054293863634</v>
      </c>
      <c r="U23" s="309">
        <f t="shared" si="0"/>
        <v>0</v>
      </c>
      <c r="V23" s="309">
        <f t="shared" si="0"/>
        <v>1.278406296889373</v>
      </c>
      <c r="W23" s="309">
        <f t="shared" si="0"/>
        <v>0</v>
      </c>
      <c r="X23" s="309">
        <f t="shared" si="0"/>
        <v>36.242179313665275</v>
      </c>
      <c r="Y23" s="309">
        <f t="shared" si="0"/>
        <v>0</v>
      </c>
      <c r="Z23" s="309">
        <f t="shared" si="0"/>
        <v>461.3</v>
      </c>
      <c r="AA23" s="309">
        <f t="shared" si="0"/>
        <v>0</v>
      </c>
      <c r="AB23" s="400"/>
      <c r="AC23" s="309">
        <f t="shared" si="0"/>
        <v>0</v>
      </c>
      <c r="AD23" s="309">
        <f t="shared" si="0"/>
        <v>17.524480095007835</v>
      </c>
      <c r="AE23" s="309">
        <f t="shared" si="0"/>
        <v>0</v>
      </c>
      <c r="AF23" s="309">
        <f>SUM(AF18:AF22)</f>
        <v>0.21014834558436601</v>
      </c>
      <c r="AH23" s="335">
        <f>B23/AF23</f>
        <v>225.87784842183174</v>
      </c>
    </row>
    <row r="24" spans="1:32" ht="12.75">
      <c r="A24" s="14"/>
      <c r="B24" s="208"/>
      <c r="C24" s="208"/>
      <c r="D24" s="208"/>
      <c r="E24" s="208"/>
      <c r="F24" s="208"/>
      <c r="G24" s="208"/>
      <c r="H24" s="208"/>
      <c r="I24" s="208"/>
      <c r="J24" s="208"/>
      <c r="K24" s="208"/>
      <c r="L24" s="208"/>
      <c r="M24" s="208"/>
      <c r="N24" s="208"/>
      <c r="O24" s="208"/>
      <c r="P24" s="41"/>
      <c r="Q24" s="208"/>
      <c r="R24" s="208"/>
      <c r="S24" s="208"/>
      <c r="T24" s="208"/>
      <c r="U24" s="208"/>
      <c r="V24" s="208"/>
      <c r="W24" s="208"/>
      <c r="X24" s="208"/>
      <c r="Y24" s="208"/>
      <c r="Z24" s="208"/>
      <c r="AA24" s="208"/>
      <c r="AB24" s="403"/>
      <c r="AC24" s="208"/>
      <c r="AD24" s="208"/>
      <c r="AE24" s="208"/>
      <c r="AF24" s="208"/>
    </row>
    <row r="25" spans="1:32" ht="12.75">
      <c r="A25" s="8" t="s">
        <v>100</v>
      </c>
      <c r="B25" s="208"/>
      <c r="C25" s="208"/>
      <c r="D25" s="208"/>
      <c r="E25" s="208"/>
      <c r="F25" s="208"/>
      <c r="G25" s="208"/>
      <c r="H25" s="208"/>
      <c r="I25" s="208"/>
      <c r="J25" s="208"/>
      <c r="K25" s="208"/>
      <c r="L25" s="208"/>
      <c r="M25" s="208"/>
      <c r="N25" s="208"/>
      <c r="O25" s="208"/>
      <c r="P25" s="41"/>
      <c r="Q25" s="208"/>
      <c r="R25" s="208"/>
      <c r="S25" s="208"/>
      <c r="T25" s="208"/>
      <c r="U25" s="208"/>
      <c r="V25" s="208"/>
      <c r="W25" s="208"/>
      <c r="X25" s="208"/>
      <c r="Y25" s="208"/>
      <c r="Z25" s="208"/>
      <c r="AA25" s="208"/>
      <c r="AB25" s="403"/>
      <c r="AC25" s="208"/>
      <c r="AD25" s="208"/>
      <c r="AE25" s="208"/>
      <c r="AF25" s="208"/>
    </row>
    <row r="26" spans="1:32" ht="12.75">
      <c r="A26" s="14" t="s">
        <v>85</v>
      </c>
      <c r="B26" s="272">
        <v>0.8053338978481657</v>
      </c>
      <c r="C26" s="208"/>
      <c r="D26" s="208">
        <v>8</v>
      </c>
      <c r="E26" s="208"/>
      <c r="F26" s="208">
        <v>0.7409071860203124</v>
      </c>
      <c r="G26" s="208"/>
      <c r="H26" s="208">
        <v>5.246767404572406</v>
      </c>
      <c r="I26" s="208"/>
      <c r="J26" s="208">
        <v>0.702033509286064</v>
      </c>
      <c r="K26" s="208"/>
      <c r="L26" s="208">
        <v>5</v>
      </c>
      <c r="M26" s="208"/>
      <c r="N26" s="208">
        <v>8</v>
      </c>
      <c r="O26" s="208"/>
      <c r="P26" s="41">
        <f>0.01*24.1595126306198</f>
        <v>0.241595126306198</v>
      </c>
      <c r="Q26" s="208"/>
      <c r="R26" s="208">
        <v>0.6107691530788757</v>
      </c>
      <c r="S26" s="208"/>
      <c r="T26" s="208"/>
      <c r="U26" s="208"/>
      <c r="V26" s="208">
        <v>0.026773442326745233</v>
      </c>
      <c r="W26" s="208"/>
      <c r="X26" s="208">
        <v>0.7590137032420641</v>
      </c>
      <c r="Y26" s="208"/>
      <c r="Z26" s="208">
        <v>84</v>
      </c>
      <c r="AA26" s="208"/>
      <c r="AB26" s="403">
        <v>148</v>
      </c>
      <c r="AC26" s="208"/>
      <c r="AD26" s="208">
        <v>0.43079156129954993</v>
      </c>
      <c r="AE26" s="208"/>
      <c r="AF26" s="208">
        <v>0.005128470967851784</v>
      </c>
    </row>
    <row r="27" spans="1:32" ht="12.75">
      <c r="A27" s="14" t="s">
        <v>87</v>
      </c>
      <c r="B27" s="208">
        <v>1.7632073620218294</v>
      </c>
      <c r="C27" s="208"/>
      <c r="D27" s="208">
        <v>2.9126213592232997</v>
      </c>
      <c r="E27" s="208"/>
      <c r="F27" s="208">
        <v>1.7118518077881837</v>
      </c>
      <c r="G27" s="208"/>
      <c r="H27" s="208">
        <v>6</v>
      </c>
      <c r="I27" s="208"/>
      <c r="J27" s="208">
        <v>1.6091406993208928</v>
      </c>
      <c r="K27" s="208"/>
      <c r="L27" s="208">
        <v>0</v>
      </c>
      <c r="M27" s="208"/>
      <c r="N27" s="208">
        <v>29</v>
      </c>
      <c r="O27" s="208"/>
      <c r="P27" s="41">
        <f>0.01*35.2038834951456</f>
        <v>0.352038834951456</v>
      </c>
      <c r="Q27" s="208"/>
      <c r="R27" s="208">
        <v>1.142489896517834</v>
      </c>
      <c r="S27" s="208"/>
      <c r="T27" s="208"/>
      <c r="U27" s="208"/>
      <c r="V27" s="208">
        <v>0.050081748888452994</v>
      </c>
      <c r="W27" s="208"/>
      <c r="X27" s="208">
        <v>1.4197925401131979</v>
      </c>
      <c r="Y27" s="208"/>
      <c r="Z27" s="208">
        <v>79</v>
      </c>
      <c r="AA27" s="208"/>
      <c r="AB27" s="403">
        <v>155</v>
      </c>
      <c r="AC27" s="208"/>
      <c r="AD27" s="208">
        <v>0.7236361978641461</v>
      </c>
      <c r="AE27" s="208"/>
      <c r="AF27" s="208">
        <v>0.00915995187169805</v>
      </c>
    </row>
    <row r="28" spans="1:34" ht="12.75">
      <c r="A28" s="112"/>
      <c r="B28" s="309">
        <f>SUM(B26:B27)</f>
        <v>2.568541259869995</v>
      </c>
      <c r="C28" s="309"/>
      <c r="D28" s="309"/>
      <c r="E28" s="309"/>
      <c r="F28" s="309"/>
      <c r="G28" s="309"/>
      <c r="H28" s="309"/>
      <c r="I28" s="309"/>
      <c r="J28" s="309"/>
      <c r="K28" s="309"/>
      <c r="L28" s="309"/>
      <c r="M28" s="309"/>
      <c r="N28" s="309"/>
      <c r="O28" s="309"/>
      <c r="P28" s="310">
        <f>1-(R28/B28)</f>
        <v>0.3174105952709322</v>
      </c>
      <c r="Q28" s="309"/>
      <c r="R28" s="309">
        <f>SUM(R26:R27)</f>
        <v>1.7532590495967098</v>
      </c>
      <c r="S28" s="309">
        <f aca="true" t="shared" si="1" ref="S28:AF28">SUM(S26:S27)</f>
        <v>0</v>
      </c>
      <c r="T28" s="309">
        <f t="shared" si="1"/>
        <v>0</v>
      </c>
      <c r="U28" s="309">
        <f t="shared" si="1"/>
        <v>0</v>
      </c>
      <c r="V28" s="309">
        <f t="shared" si="1"/>
        <v>0.07685519121519822</v>
      </c>
      <c r="W28" s="309">
        <f t="shared" si="1"/>
        <v>0</v>
      </c>
      <c r="X28" s="309">
        <f t="shared" si="1"/>
        <v>2.178806243355262</v>
      </c>
      <c r="Y28" s="309">
        <f t="shared" si="1"/>
        <v>0</v>
      </c>
      <c r="Z28" s="309">
        <f t="shared" si="1"/>
        <v>163</v>
      </c>
      <c r="AA28" s="309">
        <f t="shared" si="1"/>
        <v>0</v>
      </c>
      <c r="AB28" s="400">
        <f t="shared" si="1"/>
        <v>303</v>
      </c>
      <c r="AC28" s="309">
        <f t="shared" si="1"/>
        <v>0</v>
      </c>
      <c r="AD28" s="309">
        <f t="shared" si="1"/>
        <v>1.154427759163696</v>
      </c>
      <c r="AE28" s="309">
        <f t="shared" si="1"/>
        <v>0</v>
      </c>
      <c r="AF28" s="309">
        <f t="shared" si="1"/>
        <v>0.014288422839549834</v>
      </c>
      <c r="AH28" s="336">
        <f>B28/AF28</f>
        <v>179.76380519481592</v>
      </c>
    </row>
    <row r="29" spans="1:32" ht="12.75">
      <c r="A29" s="14"/>
      <c r="B29" s="208"/>
      <c r="C29" s="208"/>
      <c r="D29" s="208"/>
      <c r="E29" s="208"/>
      <c r="F29" s="208"/>
      <c r="G29" s="208"/>
      <c r="H29" s="208"/>
      <c r="I29" s="208"/>
      <c r="J29" s="208"/>
      <c r="K29" s="208"/>
      <c r="L29" s="208"/>
      <c r="M29" s="208"/>
      <c r="N29" s="208"/>
      <c r="O29" s="208"/>
      <c r="P29" s="41"/>
      <c r="Q29" s="208"/>
      <c r="R29" s="208"/>
      <c r="S29" s="208"/>
      <c r="T29" s="208"/>
      <c r="U29" s="208"/>
      <c r="V29" s="208"/>
      <c r="W29" s="208"/>
      <c r="X29" s="208"/>
      <c r="Y29" s="208"/>
      <c r="Z29" s="208"/>
      <c r="AA29" s="208"/>
      <c r="AB29" s="403"/>
      <c r="AC29" s="208"/>
      <c r="AD29" s="208"/>
      <c r="AE29" s="208"/>
      <c r="AF29" s="208"/>
    </row>
    <row r="30" spans="1:32" ht="12.75">
      <c r="A30" s="8" t="s">
        <v>101</v>
      </c>
      <c r="B30" s="208"/>
      <c r="C30" s="208"/>
      <c r="D30" s="208"/>
      <c r="E30" s="208"/>
      <c r="F30" s="208"/>
      <c r="G30" s="208"/>
      <c r="H30" s="208"/>
      <c r="I30" s="208"/>
      <c r="J30" s="208"/>
      <c r="K30" s="208"/>
      <c r="L30" s="208"/>
      <c r="M30" s="208"/>
      <c r="N30" s="208"/>
      <c r="O30" s="208"/>
      <c r="P30" s="41"/>
      <c r="Q30" s="208"/>
      <c r="R30" s="208"/>
      <c r="S30" s="208"/>
      <c r="T30" s="208"/>
      <c r="U30" s="208"/>
      <c r="V30" s="208"/>
      <c r="W30" s="208"/>
      <c r="X30" s="208"/>
      <c r="Y30" s="208"/>
      <c r="Z30" s="208"/>
      <c r="AA30" s="208"/>
      <c r="AB30" s="403"/>
      <c r="AC30" s="208"/>
      <c r="AD30" s="208"/>
      <c r="AE30" s="208"/>
      <c r="AF30" s="208"/>
    </row>
    <row r="31" spans="1:32" ht="12.75">
      <c r="A31" s="14" t="s">
        <v>85</v>
      </c>
      <c r="B31" s="272">
        <v>0.08874573851238844</v>
      </c>
      <c r="C31" s="208"/>
      <c r="D31" s="208">
        <v>4</v>
      </c>
      <c r="E31" s="208"/>
      <c r="F31" s="208">
        <v>0.08519590897189289</v>
      </c>
      <c r="G31" s="208"/>
      <c r="H31" s="208">
        <v>5.971997107778945</v>
      </c>
      <c r="I31" s="208"/>
      <c r="J31" s="208">
        <v>0.08010801175214546</v>
      </c>
      <c r="K31" s="208"/>
      <c r="L31" s="208">
        <v>2</v>
      </c>
      <c r="M31" s="208"/>
      <c r="N31" s="208">
        <v>26</v>
      </c>
      <c r="O31" s="208"/>
      <c r="P31" s="41">
        <f>0.01*35.0078444008968</f>
        <v>0.35007844400896804</v>
      </c>
      <c r="Q31" s="208"/>
      <c r="R31" s="208">
        <v>0.05767776846154473</v>
      </c>
      <c r="S31" s="208"/>
      <c r="T31" s="208"/>
      <c r="U31" s="208"/>
      <c r="V31" s="208">
        <v>0.0025283405353005908</v>
      </c>
      <c r="W31" s="208"/>
      <c r="X31" s="208">
        <v>0.07167719000550411</v>
      </c>
      <c r="Y31" s="208"/>
      <c r="Z31" s="208">
        <v>51</v>
      </c>
      <c r="AA31" s="208"/>
      <c r="AB31" s="403">
        <v>110</v>
      </c>
      <c r="AC31" s="208"/>
      <c r="AD31" s="208">
        <v>0.033232151729824626</v>
      </c>
      <c r="AE31" s="208"/>
      <c r="AF31" s="208">
        <v>0.0006516108182318555</v>
      </c>
    </row>
    <row r="32" spans="1:32" ht="12.75">
      <c r="A32" s="14" t="s">
        <v>103</v>
      </c>
      <c r="B32" s="208">
        <v>2.2260318365892546</v>
      </c>
      <c r="C32" s="208"/>
      <c r="D32" s="208">
        <v>3.199999999999989</v>
      </c>
      <c r="E32" s="208"/>
      <c r="F32" s="208">
        <v>2.1547988178183983</v>
      </c>
      <c r="G32" s="208"/>
      <c r="H32" s="208">
        <v>6</v>
      </c>
      <c r="I32" s="208"/>
      <c r="J32" s="208">
        <v>2.0255108887492943</v>
      </c>
      <c r="K32" s="208"/>
      <c r="L32" s="208">
        <v>0</v>
      </c>
      <c r="M32" s="208"/>
      <c r="N32" s="208">
        <v>10</v>
      </c>
      <c r="O32" s="208"/>
      <c r="P32" s="41">
        <f>0.01*18.1072</f>
        <v>0.18107199999999998</v>
      </c>
      <c r="Q32" s="208"/>
      <c r="R32" s="208">
        <v>1.822959799874365</v>
      </c>
      <c r="S32" s="208"/>
      <c r="T32" s="208">
        <v>0.207154522712996</v>
      </c>
      <c r="U32" s="208"/>
      <c r="V32" s="208">
        <v>0.07991056656983518</v>
      </c>
      <c r="W32" s="208"/>
      <c r="X32" s="208">
        <v>2.2654246069715422</v>
      </c>
      <c r="Y32" s="208"/>
      <c r="Z32" s="208">
        <v>116</v>
      </c>
      <c r="AA32" s="208"/>
      <c r="AB32" s="403">
        <v>253</v>
      </c>
      <c r="AC32" s="208"/>
      <c r="AD32" s="208">
        <v>1.0386927051727228</v>
      </c>
      <c r="AE32" s="208"/>
      <c r="AF32" s="208">
        <v>0.008954247458385542</v>
      </c>
    </row>
    <row r="33" spans="1:34" ht="12.75">
      <c r="A33" s="112"/>
      <c r="B33" s="309">
        <f>SUM(B31:B32)</f>
        <v>2.314777575101643</v>
      </c>
      <c r="C33" s="309"/>
      <c r="D33" s="309"/>
      <c r="E33" s="309"/>
      <c r="F33" s="309"/>
      <c r="G33" s="309"/>
      <c r="H33" s="309"/>
      <c r="I33" s="309"/>
      <c r="J33" s="309"/>
      <c r="K33" s="309"/>
      <c r="L33" s="309"/>
      <c r="M33" s="309"/>
      <c r="N33" s="309"/>
      <c r="O33" s="309"/>
      <c r="P33" s="310">
        <f>1-(R33/B33)</f>
        <v>0.18755150016807554</v>
      </c>
      <c r="Q33" s="309"/>
      <c r="R33" s="309">
        <f aca="true" t="shared" si="2" ref="R33:AF33">SUM(R31:R32)</f>
        <v>1.8806375683359098</v>
      </c>
      <c r="S33" s="309">
        <f t="shared" si="2"/>
        <v>0</v>
      </c>
      <c r="T33" s="309">
        <f t="shared" si="2"/>
        <v>0.207154522712996</v>
      </c>
      <c r="U33" s="309">
        <f t="shared" si="2"/>
        <v>0</v>
      </c>
      <c r="V33" s="309">
        <f t="shared" si="2"/>
        <v>0.08243890710513577</v>
      </c>
      <c r="W33" s="309">
        <f t="shared" si="2"/>
        <v>0</v>
      </c>
      <c r="X33" s="309">
        <f t="shared" si="2"/>
        <v>2.3371017969770462</v>
      </c>
      <c r="Y33" s="309">
        <f t="shared" si="2"/>
        <v>0</v>
      </c>
      <c r="Z33" s="309">
        <f t="shared" si="2"/>
        <v>167</v>
      </c>
      <c r="AA33" s="309">
        <f t="shared" si="2"/>
        <v>0</v>
      </c>
      <c r="AB33" s="400">
        <f t="shared" si="2"/>
        <v>363</v>
      </c>
      <c r="AC33" s="309">
        <f t="shared" si="2"/>
        <v>0</v>
      </c>
      <c r="AD33" s="309">
        <f t="shared" si="2"/>
        <v>1.0719248569025475</v>
      </c>
      <c r="AE33" s="309">
        <f t="shared" si="2"/>
        <v>0</v>
      </c>
      <c r="AF33" s="309">
        <f t="shared" si="2"/>
        <v>0.009605858276617397</v>
      </c>
      <c r="AH33" s="335">
        <f>B33/AF33</f>
        <v>240.97561180308895</v>
      </c>
    </row>
    <row r="34" spans="2:32" ht="12.75">
      <c r="B34" s="208"/>
      <c r="C34" s="208"/>
      <c r="D34" s="208"/>
      <c r="E34" s="208"/>
      <c r="F34" s="208"/>
      <c r="G34" s="208"/>
      <c r="H34" s="208"/>
      <c r="I34" s="208"/>
      <c r="J34" s="208"/>
      <c r="K34" s="208"/>
      <c r="L34" s="208"/>
      <c r="M34" s="208"/>
      <c r="N34" s="208"/>
      <c r="O34" s="208"/>
      <c r="P34" s="41"/>
      <c r="Q34" s="208"/>
      <c r="R34" s="208"/>
      <c r="S34" s="208"/>
      <c r="T34" s="208"/>
      <c r="U34" s="208"/>
      <c r="V34" s="208"/>
      <c r="W34" s="208"/>
      <c r="X34" s="208"/>
      <c r="Y34" s="208"/>
      <c r="Z34" s="208"/>
      <c r="AA34" s="208"/>
      <c r="AB34" s="403"/>
      <c r="AC34" s="208"/>
      <c r="AD34" s="208"/>
      <c r="AE34" s="208"/>
      <c r="AF34" s="208"/>
    </row>
    <row r="35" spans="1:32" ht="12.75">
      <c r="A35" s="8" t="s">
        <v>102</v>
      </c>
      <c r="B35" s="208"/>
      <c r="C35" s="208"/>
      <c r="D35" s="208"/>
      <c r="E35" s="208"/>
      <c r="F35" s="208"/>
      <c r="G35" s="208"/>
      <c r="H35" s="208"/>
      <c r="I35" s="208"/>
      <c r="J35" s="208"/>
      <c r="K35" s="208"/>
      <c r="L35" s="208"/>
      <c r="M35" s="208"/>
      <c r="N35" s="208"/>
      <c r="O35" s="208"/>
      <c r="P35" s="41"/>
      <c r="Q35" s="208"/>
      <c r="R35" s="208"/>
      <c r="S35" s="208"/>
      <c r="T35" s="208"/>
      <c r="U35" s="208"/>
      <c r="V35" s="208"/>
      <c r="W35" s="208"/>
      <c r="X35" s="208"/>
      <c r="Y35" s="208"/>
      <c r="Z35" s="208"/>
      <c r="AA35" s="208"/>
      <c r="AB35" s="403"/>
      <c r="AC35" s="208"/>
      <c r="AD35" s="208"/>
      <c r="AE35" s="208"/>
      <c r="AF35" s="208"/>
    </row>
    <row r="36" spans="1:32" ht="12.75">
      <c r="A36" s="14" t="s">
        <v>85</v>
      </c>
      <c r="B36" s="208">
        <v>8.046972540727655</v>
      </c>
      <c r="C36" s="208"/>
      <c r="D36" s="208">
        <v>9</v>
      </c>
      <c r="E36" s="208"/>
      <c r="F36" s="208">
        <v>7.322745012062166</v>
      </c>
      <c r="G36" s="208"/>
      <c r="H36" s="208">
        <v>7.584522135785493</v>
      </c>
      <c r="I36" s="208"/>
      <c r="J36" s="208">
        <v>6.767349795675183</v>
      </c>
      <c r="K36" s="208"/>
      <c r="L36" s="208">
        <v>4</v>
      </c>
      <c r="M36" s="208"/>
      <c r="N36" s="208">
        <v>33</v>
      </c>
      <c r="O36" s="208"/>
      <c r="P36" s="41">
        <f>0.01*47.0182065404458</f>
        <v>0.47018206540445806</v>
      </c>
      <c r="Q36" s="208"/>
      <c r="R36" s="208">
        <v>4.263430371275365</v>
      </c>
      <c r="S36" s="208"/>
      <c r="T36" s="208"/>
      <c r="U36" s="208"/>
      <c r="V36" s="208">
        <v>0.18689009846686533</v>
      </c>
      <c r="W36" s="208"/>
      <c r="X36" s="208">
        <v>5.298240846486398</v>
      </c>
      <c r="Y36" s="208"/>
      <c r="Z36" s="208">
        <v>106</v>
      </c>
      <c r="AA36" s="208"/>
      <c r="AB36" s="403">
        <v>153.9</v>
      </c>
      <c r="AC36" s="208"/>
      <c r="AD36" s="208">
        <v>3.649210719477311</v>
      </c>
      <c r="AE36" s="208"/>
      <c r="AF36" s="208">
        <v>0.03442651622148407</v>
      </c>
    </row>
    <row r="37" spans="1:32" ht="12.75">
      <c r="A37" s="14" t="s">
        <v>103</v>
      </c>
      <c r="B37" s="208">
        <v>4.815096380581588</v>
      </c>
      <c r="C37" s="208"/>
      <c r="D37" s="208">
        <v>19.09090909090908</v>
      </c>
      <c r="E37" s="208"/>
      <c r="F37" s="208">
        <v>3.895850707925103</v>
      </c>
      <c r="G37" s="208"/>
      <c r="H37" s="208">
        <v>6</v>
      </c>
      <c r="I37" s="208"/>
      <c r="J37" s="208">
        <v>3.6620996654495976</v>
      </c>
      <c r="K37" s="208"/>
      <c r="L37" s="208">
        <v>0</v>
      </c>
      <c r="M37" s="208"/>
      <c r="N37" s="208">
        <v>10</v>
      </c>
      <c r="O37" s="208"/>
      <c r="P37" s="41">
        <f>0.01*31.5509090909091</f>
        <v>0.315509090909091</v>
      </c>
      <c r="Q37" s="208"/>
      <c r="R37" s="208">
        <v>3.295889698904638</v>
      </c>
      <c r="S37" s="208"/>
      <c r="T37" s="208">
        <v>0.370324685270184</v>
      </c>
      <c r="U37" s="208"/>
      <c r="V37" s="208">
        <v>0.14447735666431288</v>
      </c>
      <c r="W37" s="208"/>
      <c r="X37" s="208">
        <v>4.095860822754938</v>
      </c>
      <c r="Y37" s="208"/>
      <c r="Z37" s="208">
        <v>152</v>
      </c>
      <c r="AA37" s="208"/>
      <c r="AB37" s="403">
        <v>253</v>
      </c>
      <c r="AC37" s="208"/>
      <c r="AD37" s="208">
        <v>2.4607543282954567</v>
      </c>
      <c r="AE37" s="208"/>
      <c r="AF37" s="208">
        <v>0.01618917321247011</v>
      </c>
    </row>
    <row r="38" spans="1:34" ht="12.75">
      <c r="A38" s="112"/>
      <c r="B38" s="309">
        <f>SUM(B36:B37)</f>
        <v>12.862068921309243</v>
      </c>
      <c r="C38" s="309"/>
      <c r="D38" s="309"/>
      <c r="E38" s="309"/>
      <c r="F38" s="309"/>
      <c r="G38" s="309"/>
      <c r="H38" s="309"/>
      <c r="I38" s="309"/>
      <c r="J38" s="309"/>
      <c r="K38" s="309"/>
      <c r="L38" s="309"/>
      <c r="M38" s="309"/>
      <c r="N38" s="309"/>
      <c r="O38" s="309"/>
      <c r="P38" s="310">
        <f>1-(R38/B38)</f>
        <v>0.4122780622286907</v>
      </c>
      <c r="Q38" s="309"/>
      <c r="R38" s="309">
        <f aca="true" t="shared" si="3" ref="R38:AF38">SUM(R36:R37)</f>
        <v>7.559320070180003</v>
      </c>
      <c r="S38" s="309">
        <f t="shared" si="3"/>
        <v>0</v>
      </c>
      <c r="T38" s="309">
        <f t="shared" si="3"/>
        <v>0.370324685270184</v>
      </c>
      <c r="U38" s="309">
        <f t="shared" si="3"/>
        <v>0</v>
      </c>
      <c r="V38" s="309">
        <f t="shared" si="3"/>
        <v>0.3313674551311782</v>
      </c>
      <c r="W38" s="309">
        <f t="shared" si="3"/>
        <v>0</v>
      </c>
      <c r="X38" s="309">
        <f t="shared" si="3"/>
        <v>9.394101669241337</v>
      </c>
      <c r="Y38" s="309">
        <f t="shared" si="3"/>
        <v>0</v>
      </c>
      <c r="Z38" s="309">
        <f t="shared" si="3"/>
        <v>258</v>
      </c>
      <c r="AA38" s="309">
        <f t="shared" si="3"/>
        <v>0</v>
      </c>
      <c r="AB38" s="400">
        <f t="shared" si="3"/>
        <v>406.9</v>
      </c>
      <c r="AC38" s="309">
        <f t="shared" si="3"/>
        <v>0</v>
      </c>
      <c r="AD38" s="309">
        <f t="shared" si="3"/>
        <v>6.109965047772768</v>
      </c>
      <c r="AE38" s="309">
        <f t="shared" si="3"/>
        <v>0</v>
      </c>
      <c r="AF38" s="309">
        <f t="shared" si="3"/>
        <v>0.050615689433954184</v>
      </c>
      <c r="AH38" s="335">
        <f>B38/AF38</f>
        <v>254.11229334517506</v>
      </c>
    </row>
    <row r="39" spans="2:32" ht="12.75">
      <c r="B39" s="208"/>
      <c r="C39" s="208"/>
      <c r="D39" s="208"/>
      <c r="E39" s="208"/>
      <c r="F39" s="208"/>
      <c r="G39" s="208"/>
      <c r="H39" s="208"/>
      <c r="I39" s="208"/>
      <c r="J39" s="208"/>
      <c r="K39" s="208"/>
      <c r="L39" s="208"/>
      <c r="M39" s="208"/>
      <c r="N39" s="208"/>
      <c r="O39" s="208"/>
      <c r="P39" s="41"/>
      <c r="Q39" s="208"/>
      <c r="R39" s="208"/>
      <c r="S39" s="208"/>
      <c r="T39" s="208"/>
      <c r="U39" s="208"/>
      <c r="V39" s="208"/>
      <c r="W39" s="208"/>
      <c r="X39" s="208"/>
      <c r="Y39" s="208"/>
      <c r="Z39" s="208"/>
      <c r="AA39" s="208"/>
      <c r="AB39" s="403"/>
      <c r="AC39" s="208"/>
      <c r="AD39" s="208"/>
      <c r="AE39" s="208"/>
      <c r="AF39" s="208"/>
    </row>
    <row r="40" spans="1:32" ht="12.75">
      <c r="A40" s="8" t="s">
        <v>137</v>
      </c>
      <c r="B40" s="208"/>
      <c r="C40" s="208"/>
      <c r="D40" s="208"/>
      <c r="E40" s="208"/>
      <c r="F40" s="208"/>
      <c r="G40" s="208"/>
      <c r="H40" s="208"/>
      <c r="I40" s="208"/>
      <c r="J40" s="208"/>
      <c r="K40" s="208"/>
      <c r="L40" s="208"/>
      <c r="M40" s="208"/>
      <c r="N40" s="208"/>
      <c r="O40" s="208"/>
      <c r="P40" s="41"/>
      <c r="Q40" s="208"/>
      <c r="R40" s="208"/>
      <c r="S40" s="208"/>
      <c r="T40" s="208"/>
      <c r="U40" s="208"/>
      <c r="V40" s="208"/>
      <c r="W40" s="208"/>
      <c r="X40" s="208"/>
      <c r="Y40" s="208"/>
      <c r="Z40" s="208"/>
      <c r="AA40" s="208"/>
      <c r="AB40" s="403"/>
      <c r="AC40" s="208"/>
      <c r="AD40" s="208"/>
      <c r="AE40" s="208"/>
      <c r="AF40" s="208"/>
    </row>
    <row r="41" spans="1:32" ht="12.75">
      <c r="A41" s="14" t="s">
        <v>85</v>
      </c>
      <c r="B41" s="208">
        <v>4.653683037397317</v>
      </c>
      <c r="C41" s="208"/>
      <c r="D41" s="208">
        <v>5</v>
      </c>
      <c r="E41" s="208"/>
      <c r="F41" s="208">
        <v>4.420998885527451</v>
      </c>
      <c r="G41" s="208"/>
      <c r="H41" s="208">
        <v>11.910544877832084</v>
      </c>
      <c r="I41" s="208"/>
      <c r="J41" s="208">
        <v>3.894433829218248</v>
      </c>
      <c r="K41" s="208"/>
      <c r="L41" s="208">
        <v>7</v>
      </c>
      <c r="M41" s="208"/>
      <c r="N41" s="208">
        <v>42</v>
      </c>
      <c r="O41" s="208"/>
      <c r="P41" s="41">
        <f>0.01*57.3206589933096</f>
        <v>0.573206589933096</v>
      </c>
      <c r="Q41" s="208"/>
      <c r="R41" s="208">
        <v>1.9861612529013066</v>
      </c>
      <c r="S41" s="208"/>
      <c r="T41" s="208"/>
      <c r="U41" s="208"/>
      <c r="V41" s="208">
        <v>0.08706460286690657</v>
      </c>
      <c r="W41" s="208"/>
      <c r="X41" s="208">
        <v>2.468237958975368</v>
      </c>
      <c r="Y41" s="208"/>
      <c r="Z41" s="208">
        <v>63.5</v>
      </c>
      <c r="AA41" s="208"/>
      <c r="AB41" s="403">
        <v>153.5</v>
      </c>
      <c r="AC41" s="208"/>
      <c r="AD41" s="208">
        <v>1.0210626084360643</v>
      </c>
      <c r="AE41" s="208"/>
      <c r="AF41" s="208">
        <v>0.016079726117103375</v>
      </c>
    </row>
    <row r="42" spans="1:32" ht="12.75">
      <c r="A42" s="14" t="s">
        <v>86</v>
      </c>
      <c r="B42" s="208">
        <v>3.1422988980151247</v>
      </c>
      <c r="C42" s="208"/>
      <c r="D42" s="208">
        <v>16.666666666666664</v>
      </c>
      <c r="E42" s="208"/>
      <c r="F42" s="208">
        <v>2.618582415012604</v>
      </c>
      <c r="G42" s="208"/>
      <c r="H42" s="208">
        <v>6</v>
      </c>
      <c r="I42" s="208"/>
      <c r="J42" s="208">
        <v>2.4614674701118475</v>
      </c>
      <c r="K42" s="208"/>
      <c r="L42" s="208">
        <v>0</v>
      </c>
      <c r="M42" s="208"/>
      <c r="N42" s="208">
        <v>9</v>
      </c>
      <c r="O42" s="208"/>
      <c r="P42" s="41">
        <f>0.01*28.7166666666667</f>
        <v>0.287166666666667</v>
      </c>
      <c r="Q42" s="208"/>
      <c r="R42" s="208">
        <v>2.239935397801781</v>
      </c>
      <c r="S42" s="208"/>
      <c r="T42" s="208"/>
      <c r="U42" s="208"/>
      <c r="V42" s="208">
        <v>0.09818894894473562</v>
      </c>
      <c r="W42" s="208"/>
      <c r="X42" s="208">
        <v>2.783607608108782</v>
      </c>
      <c r="Y42" s="208"/>
      <c r="Z42" s="208">
        <v>59</v>
      </c>
      <c r="AA42" s="208"/>
      <c r="AB42" s="403">
        <v>244</v>
      </c>
      <c r="AC42" s="208"/>
      <c r="AD42" s="208">
        <v>0.6730854462230251</v>
      </c>
      <c r="AE42" s="208"/>
      <c r="AF42" s="208">
        <v>0.011408227902085174</v>
      </c>
    </row>
    <row r="43" spans="1:32" ht="12.75">
      <c r="A43" s="19" t="s">
        <v>87</v>
      </c>
      <c r="B43" s="208">
        <v>0.7131060901390649</v>
      </c>
      <c r="C43" s="208"/>
      <c r="D43" s="208">
        <v>19.999999999999996</v>
      </c>
      <c r="E43" s="208"/>
      <c r="F43" s="208">
        <v>0.5704848721112521</v>
      </c>
      <c r="G43" s="208"/>
      <c r="H43" s="208">
        <v>6</v>
      </c>
      <c r="I43" s="208"/>
      <c r="J43" s="208">
        <v>0.5362557797845768</v>
      </c>
      <c r="K43" s="208"/>
      <c r="L43" s="208">
        <v>0</v>
      </c>
      <c r="M43" s="208"/>
      <c r="N43" s="208">
        <v>35</v>
      </c>
      <c r="O43" s="208"/>
      <c r="P43" s="41">
        <f>0.01*51.12</f>
        <v>0.5112</v>
      </c>
      <c r="Q43" s="208"/>
      <c r="R43" s="208">
        <v>0.348566256859975</v>
      </c>
      <c r="S43" s="208"/>
      <c r="T43" s="208"/>
      <c r="U43" s="208"/>
      <c r="V43" s="208">
        <v>0.015279616739067397</v>
      </c>
      <c r="W43" s="208"/>
      <c r="X43" s="208">
        <v>0.43316949474419114</v>
      </c>
      <c r="Y43" s="208"/>
      <c r="Z43" s="208">
        <v>83</v>
      </c>
      <c r="AA43" s="208"/>
      <c r="AB43" s="403">
        <v>173</v>
      </c>
      <c r="AC43" s="208"/>
      <c r="AD43" s="208">
        <v>0.20782120268073911</v>
      </c>
      <c r="AE43" s="208"/>
      <c r="AF43" s="208">
        <v>0.002503869911816134</v>
      </c>
    </row>
    <row r="44" spans="1:32" ht="12.75">
      <c r="A44" s="14" t="s">
        <v>96</v>
      </c>
      <c r="B44" s="208">
        <v>0.24817624597340876</v>
      </c>
      <c r="C44" s="208"/>
      <c r="D44" s="208">
        <v>83.37489609310057</v>
      </c>
      <c r="E44" s="208"/>
      <c r="F44" s="208">
        <v>0.041259558765321516</v>
      </c>
      <c r="G44" s="208"/>
      <c r="H44" s="208">
        <v>6</v>
      </c>
      <c r="I44" s="208"/>
      <c r="J44" s="208">
        <v>0.03878398523940222</v>
      </c>
      <c r="K44" s="208"/>
      <c r="L44" s="208">
        <v>0</v>
      </c>
      <c r="M44" s="208"/>
      <c r="N44" s="208">
        <v>11</v>
      </c>
      <c r="O44" s="208"/>
      <c r="P44" s="41">
        <f>0.01*86.0914380714879</f>
        <v>0.860914380714879</v>
      </c>
      <c r="Q44" s="208"/>
      <c r="R44" s="208">
        <v>0.03451774686306798</v>
      </c>
      <c r="S44" s="208"/>
      <c r="T44" s="208"/>
      <c r="U44" s="208"/>
      <c r="V44" s="208">
        <v>0.0015131067118057198</v>
      </c>
      <c r="W44" s="208"/>
      <c r="X44" s="208">
        <v>0.04289581872633625</v>
      </c>
      <c r="Y44" s="208"/>
      <c r="Z44" s="208">
        <v>191</v>
      </c>
      <c r="AA44" s="208"/>
      <c r="AB44" s="403">
        <v>80</v>
      </c>
      <c r="AC44" s="208"/>
      <c r="AD44" s="208">
        <v>0.10241376720912779</v>
      </c>
      <c r="AE44" s="208"/>
      <c r="AF44" s="208">
        <v>0.000536197734079203</v>
      </c>
    </row>
    <row r="45" spans="1:34" ht="12.75">
      <c r="A45" s="112"/>
      <c r="B45" s="309">
        <f>SUM(B41:B44)</f>
        <v>8.757264271524916</v>
      </c>
      <c r="C45" s="309"/>
      <c r="D45" s="309"/>
      <c r="E45" s="309"/>
      <c r="F45" s="309"/>
      <c r="G45" s="309"/>
      <c r="H45" s="309"/>
      <c r="I45" s="309"/>
      <c r="J45" s="309"/>
      <c r="K45" s="309"/>
      <c r="L45" s="309"/>
      <c r="M45" s="309"/>
      <c r="N45" s="309"/>
      <c r="O45" s="309"/>
      <c r="P45" s="310">
        <f>1-(R45/B45)</f>
        <v>0.47367345423007</v>
      </c>
      <c r="Q45" s="309"/>
      <c r="R45" s="309">
        <f>SUM(R41:R44)</f>
        <v>4.609180654426131</v>
      </c>
      <c r="S45" s="309">
        <f>SUM(S43:S44)</f>
        <v>0</v>
      </c>
      <c r="T45" s="309">
        <f>SUM(T43:T44)</f>
        <v>0</v>
      </c>
      <c r="U45" s="309">
        <f>SUM(U43:U44)</f>
        <v>0</v>
      </c>
      <c r="V45" s="309">
        <f>SUM(V41:V44)</f>
        <v>0.20204627526251528</v>
      </c>
      <c r="W45" s="309">
        <f>SUM(W43:W44)</f>
        <v>0</v>
      </c>
      <c r="X45" s="309">
        <f>SUM(X41:X44)</f>
        <v>5.727910880554677</v>
      </c>
      <c r="Y45" s="309">
        <f>SUM(Y43:Y44)</f>
        <v>0</v>
      </c>
      <c r="Z45" s="309">
        <f>SUM(Z43:Z44)</f>
        <v>274</v>
      </c>
      <c r="AA45" s="309">
        <f>SUM(AA43:AA44)</f>
        <v>0</v>
      </c>
      <c r="AB45" s="400">
        <f>SUM(AB43:AB44)</f>
        <v>253</v>
      </c>
      <c r="AC45" s="309">
        <f>SUM(AC43:AC44)</f>
        <v>0</v>
      </c>
      <c r="AD45" s="309">
        <f>SUM(AD41:AD44)</f>
        <v>2.0043830245489564</v>
      </c>
      <c r="AE45" s="309">
        <f>SUM(AE43:AE44)</f>
        <v>0</v>
      </c>
      <c r="AF45" s="309">
        <f>SUM(AF41:AF44)</f>
        <v>0.030528021665083886</v>
      </c>
      <c r="AH45" s="335">
        <f>B45/AF45</f>
        <v>286.8598682089166</v>
      </c>
    </row>
    <row r="46" spans="1:32" ht="12.75">
      <c r="A46" s="14"/>
      <c r="B46" s="208"/>
      <c r="C46" s="208"/>
      <c r="D46" s="208"/>
      <c r="E46" s="208"/>
      <c r="F46" s="208"/>
      <c r="G46" s="208"/>
      <c r="H46" s="208"/>
      <c r="I46" s="208"/>
      <c r="J46" s="208"/>
      <c r="K46" s="208"/>
      <c r="L46" s="208"/>
      <c r="M46" s="208"/>
      <c r="N46" s="208"/>
      <c r="O46" s="208"/>
      <c r="P46" s="41"/>
      <c r="Q46" s="208"/>
      <c r="R46" s="208"/>
      <c r="S46" s="208"/>
      <c r="T46" s="208"/>
      <c r="U46" s="208"/>
      <c r="V46" s="208"/>
      <c r="W46" s="208"/>
      <c r="X46" s="208"/>
      <c r="Y46" s="208"/>
      <c r="Z46" s="208"/>
      <c r="AA46" s="208"/>
      <c r="AB46" s="403"/>
      <c r="AC46" s="208"/>
      <c r="AD46" s="208"/>
      <c r="AE46" s="208"/>
      <c r="AF46" s="208"/>
    </row>
    <row r="47" spans="1:32" ht="12.75">
      <c r="A47" s="8" t="s">
        <v>104</v>
      </c>
      <c r="B47" s="208"/>
      <c r="C47" s="208"/>
      <c r="D47" s="208"/>
      <c r="E47" s="208"/>
      <c r="F47" s="208"/>
      <c r="G47" s="208"/>
      <c r="H47" s="208"/>
      <c r="I47" s="208"/>
      <c r="J47" s="208"/>
      <c r="K47" s="208"/>
      <c r="L47" s="208"/>
      <c r="M47" s="208"/>
      <c r="N47" s="208"/>
      <c r="O47" s="208"/>
      <c r="P47" s="41"/>
      <c r="Q47" s="208"/>
      <c r="R47" s="208"/>
      <c r="S47" s="208"/>
      <c r="T47" s="208"/>
      <c r="U47" s="208"/>
      <c r="V47" s="208"/>
      <c r="W47" s="208"/>
      <c r="X47" s="208"/>
      <c r="Y47" s="208"/>
      <c r="Z47" s="208"/>
      <c r="AA47" s="208"/>
      <c r="AB47" s="403"/>
      <c r="AC47" s="208"/>
      <c r="AD47" s="208"/>
      <c r="AE47" s="208"/>
      <c r="AF47" s="208"/>
    </row>
    <row r="48" spans="1:32" ht="12.75">
      <c r="A48" s="14" t="s">
        <v>85</v>
      </c>
      <c r="B48" s="208">
        <v>3.0931657582696688</v>
      </c>
      <c r="C48" s="208"/>
      <c r="D48" s="208">
        <v>5</v>
      </c>
      <c r="E48" s="208"/>
      <c r="F48" s="208">
        <v>2.938507470356185</v>
      </c>
      <c r="G48" s="208"/>
      <c r="H48" s="208">
        <v>17.578948639861824</v>
      </c>
      <c r="I48" s="208"/>
      <c r="J48" s="208">
        <v>2.4219487513637685</v>
      </c>
      <c r="K48" s="208"/>
      <c r="L48" s="208">
        <v>10</v>
      </c>
      <c r="M48" s="208"/>
      <c r="N48" s="208">
        <v>20</v>
      </c>
      <c r="O48" s="208"/>
      <c r="P48" s="41">
        <f>0.01*45.1900008455081</f>
        <v>0.45190000845508105</v>
      </c>
      <c r="Q48" s="208"/>
      <c r="R48" s="208">
        <v>1.695364125954638</v>
      </c>
      <c r="S48" s="208"/>
      <c r="T48" s="208"/>
      <c r="U48" s="208"/>
      <c r="V48" s="208">
        <v>0.07431733154869646</v>
      </c>
      <c r="W48" s="208"/>
      <c r="X48" s="208">
        <v>2.1068591907397702</v>
      </c>
      <c r="Y48" s="208"/>
      <c r="Z48" s="208">
        <v>92.3</v>
      </c>
      <c r="AA48" s="208"/>
      <c r="AB48" s="403">
        <v>159.7</v>
      </c>
      <c r="AC48" s="208"/>
      <c r="AD48" s="208">
        <v>1.217677541047469</v>
      </c>
      <c r="AE48" s="208"/>
      <c r="AF48" s="208">
        <v>0.013192606078520791</v>
      </c>
    </row>
    <row r="49" spans="1:32" ht="12.75">
      <c r="A49" s="14" t="s">
        <v>86</v>
      </c>
      <c r="B49" s="208">
        <v>2.2661885671413966</v>
      </c>
      <c r="C49" s="208"/>
      <c r="D49" s="208">
        <v>0</v>
      </c>
      <c r="E49" s="208"/>
      <c r="F49" s="208">
        <v>2.2661885671413966</v>
      </c>
      <c r="G49" s="208"/>
      <c r="H49" s="208">
        <v>6</v>
      </c>
      <c r="I49" s="208"/>
      <c r="J49" s="208">
        <v>2.130217253112913</v>
      </c>
      <c r="K49" s="208"/>
      <c r="L49" s="208">
        <v>0</v>
      </c>
      <c r="M49" s="208"/>
      <c r="N49" s="208">
        <v>9</v>
      </c>
      <c r="O49" s="208"/>
      <c r="P49" s="41">
        <f>0.01*14.46</f>
        <v>0.1446</v>
      </c>
      <c r="Q49" s="208"/>
      <c r="R49" s="208">
        <v>1.9384977003327506</v>
      </c>
      <c r="S49" s="208"/>
      <c r="T49" s="208"/>
      <c r="U49" s="208"/>
      <c r="V49" s="208">
        <v>0.08497524165842195</v>
      </c>
      <c r="W49" s="208"/>
      <c r="X49" s="208">
        <v>2.409005613395433</v>
      </c>
      <c r="Y49" s="208"/>
      <c r="Z49" s="208">
        <v>71</v>
      </c>
      <c r="AA49" s="208"/>
      <c r="AB49" s="403">
        <v>244</v>
      </c>
      <c r="AC49" s="208"/>
      <c r="AD49" s="208">
        <v>0.7009811416027695</v>
      </c>
      <c r="AE49" s="208"/>
      <c r="AF49" s="208">
        <v>0.00987297382539112</v>
      </c>
    </row>
    <row r="50" spans="1:32" ht="12.75">
      <c r="A50" s="14" t="s">
        <v>96</v>
      </c>
      <c r="B50" s="272">
        <v>0.022378169931200894</v>
      </c>
      <c r="C50" s="208"/>
      <c r="D50" s="208">
        <v>84.15213946117274</v>
      </c>
      <c r="E50" s="208"/>
      <c r="F50" s="208">
        <v>0.0035464611618384947</v>
      </c>
      <c r="G50" s="208"/>
      <c r="H50" s="208">
        <v>6</v>
      </c>
      <c r="I50" s="208"/>
      <c r="J50" s="208">
        <v>0.0033336734921281855</v>
      </c>
      <c r="K50" s="208"/>
      <c r="L50" s="208">
        <v>0</v>
      </c>
      <c r="M50" s="208"/>
      <c r="N50" s="208">
        <v>11</v>
      </c>
      <c r="O50" s="208"/>
      <c r="P50" s="41">
        <f>0.01*86.7416798732171</f>
        <v>0.8674167987321709</v>
      </c>
      <c r="Q50" s="208"/>
      <c r="R50" s="208">
        <v>0.0029669694079940846</v>
      </c>
      <c r="S50" s="208"/>
      <c r="T50" s="208"/>
      <c r="U50" s="208"/>
      <c r="V50" s="208">
        <v>0.00013005893295316536</v>
      </c>
      <c r="W50" s="208"/>
      <c r="X50" s="208">
        <v>0.0036871057197557606</v>
      </c>
      <c r="Y50" s="208"/>
      <c r="Z50" s="208">
        <v>236</v>
      </c>
      <c r="AA50" s="208"/>
      <c r="AB50" s="403">
        <v>90</v>
      </c>
      <c r="AC50" s="208"/>
      <c r="AD50" s="208">
        <v>0.00966841055402622</v>
      </c>
      <c r="AE50" s="208"/>
      <c r="AF50" s="208">
        <v>4.096784133061957E-05</v>
      </c>
    </row>
    <row r="51" spans="1:34" ht="12.75">
      <c r="A51" s="112"/>
      <c r="B51" s="309">
        <f>SUM(B48:B50)</f>
        <v>5.381732495342265</v>
      </c>
      <c r="C51" s="309"/>
      <c r="D51" s="309"/>
      <c r="E51" s="309"/>
      <c r="F51" s="309"/>
      <c r="G51" s="309"/>
      <c r="H51" s="309"/>
      <c r="I51" s="309"/>
      <c r="J51" s="309"/>
      <c r="K51" s="309"/>
      <c r="L51" s="309"/>
      <c r="M51" s="309"/>
      <c r="N51" s="309"/>
      <c r="O51" s="309"/>
      <c r="P51" s="310">
        <f>1-(R51/B51)</f>
        <v>0.32422713339190434</v>
      </c>
      <c r="Q51" s="309"/>
      <c r="R51" s="309">
        <f>SUM(R48:R50)</f>
        <v>3.6368287956953824</v>
      </c>
      <c r="S51" s="309"/>
      <c r="T51" s="309"/>
      <c r="U51" s="309"/>
      <c r="V51" s="309">
        <f aca="true" t="shared" si="4" ref="V51:AF51">SUM(V48:V50)</f>
        <v>0.1594226321400716</v>
      </c>
      <c r="W51" s="309">
        <f t="shared" si="4"/>
        <v>0</v>
      </c>
      <c r="X51" s="309">
        <f t="shared" si="4"/>
        <v>4.519551909854959</v>
      </c>
      <c r="Y51" s="309">
        <f t="shared" si="4"/>
        <v>0</v>
      </c>
      <c r="Z51" s="309">
        <f t="shared" si="4"/>
        <v>399.3</v>
      </c>
      <c r="AA51" s="309">
        <f t="shared" si="4"/>
        <v>0</v>
      </c>
      <c r="AB51" s="400">
        <f t="shared" si="4"/>
        <v>493.7</v>
      </c>
      <c r="AC51" s="309">
        <f t="shared" si="4"/>
        <v>0</v>
      </c>
      <c r="AD51" s="309">
        <f t="shared" si="4"/>
        <v>1.9283270932042644</v>
      </c>
      <c r="AE51" s="309">
        <f t="shared" si="4"/>
        <v>0</v>
      </c>
      <c r="AF51" s="309">
        <f t="shared" si="4"/>
        <v>0.023106547745242532</v>
      </c>
      <c r="AH51" s="335">
        <f>B51/AF51</f>
        <v>232.90941401881744</v>
      </c>
    </row>
    <row r="52" spans="2:32" ht="12.75">
      <c r="B52" s="208"/>
      <c r="C52" s="208"/>
      <c r="D52" s="208"/>
      <c r="E52" s="208"/>
      <c r="F52" s="208"/>
      <c r="G52" s="208"/>
      <c r="H52" s="208"/>
      <c r="I52" s="208"/>
      <c r="J52" s="208"/>
      <c r="K52" s="208"/>
      <c r="L52" s="208"/>
      <c r="M52" s="208"/>
      <c r="N52" s="208"/>
      <c r="O52" s="208"/>
      <c r="P52" s="41"/>
      <c r="Q52" s="208"/>
      <c r="R52" s="208"/>
      <c r="S52" s="208"/>
      <c r="T52" s="208"/>
      <c r="U52" s="208"/>
      <c r="V52" s="208"/>
      <c r="W52" s="208"/>
      <c r="X52" s="208"/>
      <c r="Y52" s="208"/>
      <c r="Z52" s="208"/>
      <c r="AA52" s="208"/>
      <c r="AB52" s="403"/>
      <c r="AC52" s="208"/>
      <c r="AD52" s="208"/>
      <c r="AE52" s="208"/>
      <c r="AF52" s="208"/>
    </row>
    <row r="53" spans="1:32" ht="12.75">
      <c r="A53" s="8" t="s">
        <v>106</v>
      </c>
      <c r="B53" s="208"/>
      <c r="C53" s="208"/>
      <c r="D53" s="208"/>
      <c r="E53" s="208"/>
      <c r="F53" s="208"/>
      <c r="G53" s="208"/>
      <c r="H53" s="208"/>
      <c r="I53" s="208"/>
      <c r="J53" s="208"/>
      <c r="K53" s="208"/>
      <c r="L53" s="208"/>
      <c r="M53" s="208"/>
      <c r="N53" s="208"/>
      <c r="O53" s="208"/>
      <c r="P53" s="41"/>
      <c r="Q53" s="208"/>
      <c r="R53" s="208"/>
      <c r="S53" s="208"/>
      <c r="T53" s="208"/>
      <c r="U53" s="208"/>
      <c r="V53" s="208"/>
      <c r="W53" s="208"/>
      <c r="X53" s="208"/>
      <c r="Y53" s="208"/>
      <c r="Z53" s="208"/>
      <c r="AA53" s="208"/>
      <c r="AB53" s="403"/>
      <c r="AC53" s="208"/>
      <c r="AD53" s="208"/>
      <c r="AE53" s="208"/>
      <c r="AF53" s="208"/>
    </row>
    <row r="54" spans="1:32" ht="12.75">
      <c r="A54" s="14" t="s">
        <v>85</v>
      </c>
      <c r="B54" s="208">
        <v>6.695425976810474</v>
      </c>
      <c r="C54" s="208"/>
      <c r="D54" s="208">
        <v>8</v>
      </c>
      <c r="E54" s="208"/>
      <c r="F54" s="208">
        <v>6.1597918986656355</v>
      </c>
      <c r="G54" s="208"/>
      <c r="H54" s="208">
        <v>9.75397963734622</v>
      </c>
      <c r="I54" s="208"/>
      <c r="J54" s="208">
        <v>5.558967051166887</v>
      </c>
      <c r="K54" s="208"/>
      <c r="L54" s="208">
        <v>6</v>
      </c>
      <c r="M54" s="208"/>
      <c r="N54" s="208">
        <v>35</v>
      </c>
      <c r="O54" s="208"/>
      <c r="P54" s="41">
        <f>0.01*51.0144601471515</f>
        <v>0.5101446014715151</v>
      </c>
      <c r="Q54" s="208"/>
      <c r="R54" s="208">
        <v>3.279790560188463</v>
      </c>
      <c r="S54" s="208"/>
      <c r="T54" s="208"/>
      <c r="U54" s="208"/>
      <c r="V54" s="208">
        <v>0.14377164099456277</v>
      </c>
      <c r="W54" s="208"/>
      <c r="X54" s="208">
        <v>4.075854136375357</v>
      </c>
      <c r="Y54" s="208"/>
      <c r="Z54" s="208">
        <v>50</v>
      </c>
      <c r="AA54" s="208"/>
      <c r="AB54" s="403">
        <v>151.5</v>
      </c>
      <c r="AC54" s="208"/>
      <c r="AD54" s="208">
        <v>1.345166381642032</v>
      </c>
      <c r="AE54" s="208"/>
      <c r="AF54" s="208">
        <v>0.02690332763284064</v>
      </c>
    </row>
    <row r="55" spans="1:32" ht="12.75">
      <c r="A55" s="14" t="s">
        <v>87</v>
      </c>
      <c r="B55" s="208">
        <v>0.3848996842875686</v>
      </c>
      <c r="C55" s="208"/>
      <c r="D55" s="208">
        <v>-12.35955056179776</v>
      </c>
      <c r="E55" s="208"/>
      <c r="F55" s="208">
        <v>0.4324715553792907</v>
      </c>
      <c r="G55" s="208"/>
      <c r="H55" s="208">
        <v>6</v>
      </c>
      <c r="I55" s="208"/>
      <c r="J55" s="208">
        <v>0.4065232620565332</v>
      </c>
      <c r="K55" s="208"/>
      <c r="L55" s="208">
        <v>0</v>
      </c>
      <c r="M55" s="208"/>
      <c r="N55" s="208">
        <v>24</v>
      </c>
      <c r="O55" s="208"/>
      <c r="P55" s="41">
        <f>0.01*19.7303370786517</f>
        <v>0.19730337078651702</v>
      </c>
      <c r="Q55" s="208"/>
      <c r="R55" s="208">
        <v>0.30895767916296524</v>
      </c>
      <c r="S55" s="208"/>
      <c r="T55" s="208"/>
      <c r="U55" s="208"/>
      <c r="V55" s="208">
        <v>0.013543350319472448</v>
      </c>
      <c r="W55" s="208"/>
      <c r="X55" s="208">
        <v>0.3839472098818842</v>
      </c>
      <c r="Y55" s="208"/>
      <c r="Z55" s="208">
        <v>52</v>
      </c>
      <c r="AA55" s="208"/>
      <c r="AB55" s="403">
        <v>149</v>
      </c>
      <c r="AC55" s="208"/>
      <c r="AD55" s="208">
        <v>0.1339949994218656</v>
      </c>
      <c r="AE55" s="208"/>
      <c r="AF55" s="208">
        <v>0.002576826911958954</v>
      </c>
    </row>
    <row r="56" spans="1:34" ht="12.75">
      <c r="A56" s="112"/>
      <c r="B56" s="309">
        <f>SUM(B54:B55)</f>
        <v>7.080325661098042</v>
      </c>
      <c r="C56" s="309"/>
      <c r="D56" s="309"/>
      <c r="E56" s="309"/>
      <c r="F56" s="309"/>
      <c r="G56" s="309"/>
      <c r="H56" s="309"/>
      <c r="I56" s="309"/>
      <c r="J56" s="309"/>
      <c r="K56" s="309"/>
      <c r="L56" s="309"/>
      <c r="M56" s="309"/>
      <c r="N56" s="309"/>
      <c r="O56" s="309"/>
      <c r="P56" s="310">
        <f>1-(R56/B56)</f>
        <v>0.4931379697590248</v>
      </c>
      <c r="Q56" s="309"/>
      <c r="R56" s="309">
        <f aca="true" t="shared" si="5" ref="R56:AF56">SUM(R54:R55)</f>
        <v>3.5887482393514283</v>
      </c>
      <c r="S56" s="309">
        <f t="shared" si="5"/>
        <v>0</v>
      </c>
      <c r="T56" s="309">
        <f t="shared" si="5"/>
        <v>0</v>
      </c>
      <c r="U56" s="309">
        <f t="shared" si="5"/>
        <v>0</v>
      </c>
      <c r="V56" s="309">
        <f t="shared" si="5"/>
        <v>0.15731499131403523</v>
      </c>
      <c r="W56" s="309">
        <f t="shared" si="5"/>
        <v>0</v>
      </c>
      <c r="X56" s="309">
        <f t="shared" si="5"/>
        <v>4.459801346257241</v>
      </c>
      <c r="Y56" s="309">
        <f t="shared" si="5"/>
        <v>0</v>
      </c>
      <c r="Z56" s="309">
        <f t="shared" si="5"/>
        <v>102</v>
      </c>
      <c r="AA56" s="309">
        <f t="shared" si="5"/>
        <v>0</v>
      </c>
      <c r="AB56" s="400">
        <f t="shared" si="5"/>
        <v>300.5</v>
      </c>
      <c r="AC56" s="309">
        <f t="shared" si="5"/>
        <v>0</v>
      </c>
      <c r="AD56" s="309">
        <f t="shared" si="5"/>
        <v>1.4791613810638977</v>
      </c>
      <c r="AE56" s="309">
        <f t="shared" si="5"/>
        <v>0</v>
      </c>
      <c r="AF56" s="309">
        <f t="shared" si="5"/>
        <v>0.029480154544799592</v>
      </c>
      <c r="AG56" s="12"/>
      <c r="AH56" s="335">
        <f>B56/AF56</f>
        <v>240.17261002951687</v>
      </c>
    </row>
    <row r="57" spans="1:32" ht="12.75">
      <c r="A57" s="8" t="s">
        <v>107</v>
      </c>
      <c r="B57" s="208"/>
      <c r="C57" s="208"/>
      <c r="D57" s="208"/>
      <c r="E57" s="208"/>
      <c r="F57" s="208"/>
      <c r="G57" s="208"/>
      <c r="H57" s="208"/>
      <c r="I57" s="208"/>
      <c r="J57" s="208"/>
      <c r="K57" s="208"/>
      <c r="L57" s="208"/>
      <c r="M57" s="208"/>
      <c r="N57" s="208"/>
      <c r="O57" s="208"/>
      <c r="P57" s="41"/>
      <c r="Q57" s="208"/>
      <c r="R57" s="208"/>
      <c r="S57" s="208"/>
      <c r="T57" s="208"/>
      <c r="U57" s="208"/>
      <c r="V57" s="208"/>
      <c r="W57" s="208"/>
      <c r="X57" s="208"/>
      <c r="Y57" s="208"/>
      <c r="Z57" s="208"/>
      <c r="AA57" s="208"/>
      <c r="AB57" s="403"/>
      <c r="AC57" s="208"/>
      <c r="AD57" s="208"/>
      <c r="AE57" s="208"/>
      <c r="AF57" s="208"/>
    </row>
    <row r="58" spans="1:34" ht="12.75">
      <c r="A58" s="14" t="s">
        <v>85</v>
      </c>
      <c r="B58" s="208">
        <v>15.110790557086522</v>
      </c>
      <c r="C58" s="208"/>
      <c r="D58" s="208">
        <v>10</v>
      </c>
      <c r="E58" s="208"/>
      <c r="F58" s="208">
        <v>13.599711501377874</v>
      </c>
      <c r="G58" s="208"/>
      <c r="H58" s="208">
        <v>16.777334931261265</v>
      </c>
      <c r="I58" s="208"/>
      <c r="J58" s="208">
        <v>11.318042353106446</v>
      </c>
      <c r="K58" s="208"/>
      <c r="L58" s="208">
        <v>48</v>
      </c>
      <c r="M58" s="208"/>
      <c r="N58" s="208">
        <v>13</v>
      </c>
      <c r="O58" s="208"/>
      <c r="P58" s="41">
        <f>0.01*70.7888445608727</f>
        <v>0.7078884456087271</v>
      </c>
      <c r="Q58" s="208"/>
      <c r="R58" s="208">
        <v>4.414036517711514</v>
      </c>
      <c r="S58" s="208"/>
      <c r="T58" s="208"/>
      <c r="U58" s="208"/>
      <c r="V58" s="208">
        <v>0.19349201173529926</v>
      </c>
      <c r="W58" s="208"/>
      <c r="X58" s="208">
        <v>5.485401786689866</v>
      </c>
      <c r="Y58" s="208"/>
      <c r="Z58" s="208">
        <v>45.3</v>
      </c>
      <c r="AA58" s="208"/>
      <c r="AB58" s="403">
        <v>150.8</v>
      </c>
      <c r="AC58" s="208"/>
      <c r="AD58" s="208">
        <v>1.6478030566117432</v>
      </c>
      <c r="AE58" s="208"/>
      <c r="AF58" s="208">
        <v>0.03637534341306277</v>
      </c>
      <c r="AH58" s="129">
        <f>B58/AF58</f>
        <v>415.4130006552757</v>
      </c>
    </row>
    <row r="59" spans="1:34" ht="12.75">
      <c r="A59" s="14"/>
      <c r="B59" s="208"/>
      <c r="C59" s="208"/>
      <c r="D59" s="208"/>
      <c r="E59" s="208"/>
      <c r="F59" s="208"/>
      <c r="G59" s="208"/>
      <c r="H59" s="208"/>
      <c r="I59" s="208"/>
      <c r="J59" s="208"/>
      <c r="K59" s="208"/>
      <c r="L59" s="208"/>
      <c r="M59" s="208"/>
      <c r="N59" s="208"/>
      <c r="O59" s="208"/>
      <c r="P59" s="41"/>
      <c r="Q59" s="208"/>
      <c r="R59" s="208"/>
      <c r="S59" s="208"/>
      <c r="T59" s="208"/>
      <c r="U59" s="208"/>
      <c r="V59" s="208"/>
      <c r="W59" s="208"/>
      <c r="X59" s="208"/>
      <c r="Y59" s="208"/>
      <c r="Z59" s="208"/>
      <c r="AA59" s="208"/>
      <c r="AB59" s="403"/>
      <c r="AC59" s="208"/>
      <c r="AD59" s="208"/>
      <c r="AE59" s="208"/>
      <c r="AF59" s="208"/>
      <c r="AH59" s="129"/>
    </row>
    <row r="60" spans="1:32" ht="12.75">
      <c r="A60" s="337" t="s">
        <v>425</v>
      </c>
      <c r="B60" s="208"/>
      <c r="C60" s="208"/>
      <c r="D60" s="208"/>
      <c r="E60" s="208"/>
      <c r="F60" s="208"/>
      <c r="G60" s="208"/>
      <c r="H60" s="208"/>
      <c r="I60" s="208"/>
      <c r="J60" s="208"/>
      <c r="K60" s="208"/>
      <c r="L60" s="208"/>
      <c r="M60" s="208"/>
      <c r="N60" s="208"/>
      <c r="O60" s="208"/>
      <c r="P60" s="41"/>
      <c r="Q60" s="208"/>
      <c r="R60" s="208"/>
      <c r="S60" s="208"/>
      <c r="T60" s="208"/>
      <c r="U60" s="208"/>
      <c r="V60" s="208"/>
      <c r="W60" s="208"/>
      <c r="X60" s="208"/>
      <c r="Y60" s="208"/>
      <c r="Z60" s="208"/>
      <c r="AA60" s="208"/>
      <c r="AB60" s="403"/>
      <c r="AC60" s="208"/>
      <c r="AD60" s="208"/>
      <c r="AE60" s="208"/>
      <c r="AF60" s="208"/>
    </row>
    <row r="61" spans="1:32" ht="12.75">
      <c r="A61" s="233" t="s">
        <v>85</v>
      </c>
      <c r="B61" s="272">
        <v>0.8919685861901602</v>
      </c>
      <c r="C61" s="208"/>
      <c r="D61" s="208">
        <v>5</v>
      </c>
      <c r="E61" s="208"/>
      <c r="F61" s="208">
        <v>0.8473701568806522</v>
      </c>
      <c r="G61" s="208"/>
      <c r="H61" s="208">
        <v>17.316554490124737</v>
      </c>
      <c r="I61" s="208"/>
      <c r="J61" s="208">
        <v>0.7006348419313587</v>
      </c>
      <c r="K61" s="208"/>
      <c r="L61" s="208">
        <v>6</v>
      </c>
      <c r="M61" s="208"/>
      <c r="N61" s="208">
        <v>27</v>
      </c>
      <c r="O61" s="208"/>
      <c r="P61" s="41">
        <f>0.01*47.3719869329644</f>
        <v>0.473719869329644</v>
      </c>
      <c r="Q61" s="208"/>
      <c r="R61" s="208">
        <v>0.4694253440940104</v>
      </c>
      <c r="S61" s="208"/>
      <c r="T61" s="208"/>
      <c r="U61" s="208"/>
      <c r="V61" s="208">
        <v>0.020577549330148402</v>
      </c>
      <c r="W61" s="208"/>
      <c r="X61" s="208">
        <v>0.583363234735042</v>
      </c>
      <c r="Y61" s="208"/>
      <c r="Z61" s="208">
        <v>76</v>
      </c>
      <c r="AA61" s="208"/>
      <c r="AB61" s="403">
        <v>165</v>
      </c>
      <c r="AC61" s="208"/>
      <c r="AD61" s="208">
        <v>0.26870064145371636</v>
      </c>
      <c r="AE61" s="208"/>
      <c r="AF61" s="208">
        <v>0.003535534755969952</v>
      </c>
    </row>
    <row r="62" spans="1:32" ht="12.75">
      <c r="A62" s="233" t="s">
        <v>86</v>
      </c>
      <c r="B62" s="208">
        <v>0.01897373213252912</v>
      </c>
      <c r="C62" s="208"/>
      <c r="D62" s="208">
        <v>33.774834437086085</v>
      </c>
      <c r="E62" s="208"/>
      <c r="F62" s="208">
        <v>0.012565385518231203</v>
      </c>
      <c r="G62" s="208"/>
      <c r="H62" s="208">
        <v>6</v>
      </c>
      <c r="I62" s="208"/>
      <c r="J62" s="208">
        <v>0.011811462387137333</v>
      </c>
      <c r="K62" s="208"/>
      <c r="L62" s="208">
        <v>0</v>
      </c>
      <c r="M62" s="208"/>
      <c r="N62" s="208">
        <v>26</v>
      </c>
      <c r="O62" s="208"/>
      <c r="P62" s="41">
        <f>0.01*53.9337748344371</f>
        <v>0.539337748344371</v>
      </c>
      <c r="Q62" s="208"/>
      <c r="R62" s="208">
        <v>0.008740482166481628</v>
      </c>
      <c r="S62" s="208"/>
      <c r="T62" s="208"/>
      <c r="U62" s="208"/>
      <c r="V62" s="208">
        <v>0.00038314442373618083</v>
      </c>
      <c r="W62" s="208"/>
      <c r="X62" s="208">
        <v>0.010861952840708858</v>
      </c>
      <c r="Y62" s="208"/>
      <c r="Z62" s="208">
        <v>102</v>
      </c>
      <c r="AA62" s="208"/>
      <c r="AB62" s="403">
        <v>249</v>
      </c>
      <c r="AC62" s="208"/>
      <c r="AD62" s="208">
        <v>0.004449474657639773</v>
      </c>
      <c r="AE62" s="208"/>
      <c r="AF62" s="208">
        <v>4.362230056509581E-05</v>
      </c>
    </row>
    <row r="63" spans="1:32" ht="12.75">
      <c r="A63" s="233" t="s">
        <v>87</v>
      </c>
      <c r="B63" s="208">
        <v>0.006749617064153645</v>
      </c>
      <c r="C63" s="208"/>
      <c r="D63" s="208">
        <v>15.254237288135588</v>
      </c>
      <c r="E63" s="208"/>
      <c r="F63" s="208">
        <v>0.0057200144611471585</v>
      </c>
      <c r="G63" s="208"/>
      <c r="H63" s="208">
        <v>6</v>
      </c>
      <c r="I63" s="208"/>
      <c r="J63" s="208">
        <v>0.005376813593478329</v>
      </c>
      <c r="K63" s="208"/>
      <c r="L63" s="208">
        <v>0</v>
      </c>
      <c r="M63" s="208"/>
      <c r="N63" s="208">
        <v>10</v>
      </c>
      <c r="O63" s="208"/>
      <c r="P63" s="41">
        <f>0.01*28.3050847457627</f>
        <v>0.283050847457627</v>
      </c>
      <c r="Q63" s="208"/>
      <c r="R63" s="208">
        <v>0.004839132234130496</v>
      </c>
      <c r="S63" s="208"/>
      <c r="T63" s="208"/>
      <c r="U63" s="208"/>
      <c r="V63" s="208">
        <v>0.00021212634450983</v>
      </c>
      <c r="W63" s="208"/>
      <c r="X63" s="208">
        <v>0.006013675803681424</v>
      </c>
      <c r="Y63" s="208"/>
      <c r="Z63" s="208">
        <v>83</v>
      </c>
      <c r="AA63" s="208"/>
      <c r="AB63" s="403">
        <v>173</v>
      </c>
      <c r="AC63" s="208"/>
      <c r="AD63" s="208">
        <v>0.002885173940494556</v>
      </c>
      <c r="AE63" s="208"/>
      <c r="AF63" s="208">
        <v>3.476113181318742E-05</v>
      </c>
    </row>
    <row r="64" spans="1:32" ht="12.75">
      <c r="A64" s="233" t="s">
        <v>96</v>
      </c>
      <c r="B64" s="208">
        <v>0.798881255362385</v>
      </c>
      <c r="C64" s="208"/>
      <c r="D64" s="208">
        <v>61.53846153846153</v>
      </c>
      <c r="E64" s="208"/>
      <c r="F64" s="208">
        <v>0.307262021293225</v>
      </c>
      <c r="G64" s="208"/>
      <c r="H64" s="208">
        <v>6</v>
      </c>
      <c r="I64" s="208"/>
      <c r="J64" s="208">
        <v>0.28882630001563153</v>
      </c>
      <c r="K64" s="208"/>
      <c r="L64" s="208">
        <v>0</v>
      </c>
      <c r="M64" s="208"/>
      <c r="N64" s="208">
        <v>11</v>
      </c>
      <c r="O64" s="208"/>
      <c r="P64" s="41">
        <f>0.01*67.8230769230769</f>
        <v>0.678230769230769</v>
      </c>
      <c r="Q64" s="208"/>
      <c r="R64" s="208">
        <v>0.25705540701391205</v>
      </c>
      <c r="S64" s="208"/>
      <c r="T64" s="208"/>
      <c r="U64" s="208"/>
      <c r="V64" s="208">
        <v>0.011268182225267376</v>
      </c>
      <c r="W64" s="208"/>
      <c r="X64" s="208">
        <v>0.31944733199521747</v>
      </c>
      <c r="Y64" s="208"/>
      <c r="Z64" s="208">
        <v>209</v>
      </c>
      <c r="AA64" s="208"/>
      <c r="AB64" s="403">
        <v>87</v>
      </c>
      <c r="AC64" s="208"/>
      <c r="AD64" s="208">
        <v>0.7674079584712696</v>
      </c>
      <c r="AE64" s="208"/>
      <c r="AF64" s="208">
        <v>0.0036718084137381327</v>
      </c>
    </row>
    <row r="65" spans="1:32" ht="12.75">
      <c r="A65" s="233" t="s">
        <v>103</v>
      </c>
      <c r="B65" s="272">
        <v>0.4611342914561038</v>
      </c>
      <c r="C65" s="208"/>
      <c r="D65" s="208">
        <v>27.69230769230769</v>
      </c>
      <c r="E65" s="208"/>
      <c r="F65" s="208">
        <v>0.3334355645913366</v>
      </c>
      <c r="G65" s="208"/>
      <c r="H65" s="208">
        <v>6</v>
      </c>
      <c r="I65" s="208"/>
      <c r="J65" s="208">
        <v>0.3134294307158564</v>
      </c>
      <c r="K65" s="208"/>
      <c r="L65" s="208">
        <v>0</v>
      </c>
      <c r="M65" s="208"/>
      <c r="N65" s="208">
        <v>32</v>
      </c>
      <c r="O65" s="208"/>
      <c r="P65" s="41">
        <f>0.01*53.7809230769231</f>
        <v>0.537809230769231</v>
      </c>
      <c r="Q65" s="208"/>
      <c r="R65" s="208">
        <v>0.21313201288678235</v>
      </c>
      <c r="S65" s="208"/>
      <c r="T65" s="208">
        <v>0.02267361839221089</v>
      </c>
      <c r="U65" s="208"/>
      <c r="V65" s="208">
        <v>0.009342773167639774</v>
      </c>
      <c r="W65" s="208"/>
      <c r="X65" s="208">
        <v>0.26486294791600373</v>
      </c>
      <c r="Y65" s="208"/>
      <c r="Z65" s="208">
        <v>182</v>
      </c>
      <c r="AA65" s="208"/>
      <c r="AB65" s="403">
        <v>256</v>
      </c>
      <c r="AC65" s="208"/>
      <c r="AD65" s="208">
        <v>0.18830100203403394</v>
      </c>
      <c r="AE65" s="208"/>
      <c r="AF65" s="208">
        <v>0.0010346208902968896</v>
      </c>
    </row>
    <row r="66" spans="1:34" ht="12.75">
      <c r="A66" s="338"/>
      <c r="B66" s="309">
        <f>SUM(B61:B65)</f>
        <v>2.1777074822053315</v>
      </c>
      <c r="C66" s="309"/>
      <c r="D66" s="309"/>
      <c r="E66" s="309"/>
      <c r="F66" s="309"/>
      <c r="G66" s="309"/>
      <c r="H66" s="309"/>
      <c r="I66" s="309"/>
      <c r="J66" s="309"/>
      <c r="K66" s="309"/>
      <c r="L66" s="309"/>
      <c r="M66" s="309"/>
      <c r="N66" s="309"/>
      <c r="O66" s="309"/>
      <c r="P66" s="310">
        <f>1-(R66/B66)</f>
        <v>0.5622954936858493</v>
      </c>
      <c r="Q66" s="309"/>
      <c r="R66" s="309">
        <f aca="true" t="shared" si="6" ref="R66:AF66">SUM(R61:R65)</f>
        <v>0.9531923783953169</v>
      </c>
      <c r="S66" s="309">
        <f t="shared" si="6"/>
        <v>0</v>
      </c>
      <c r="T66" s="309">
        <f t="shared" si="6"/>
        <v>0.02267361839221089</v>
      </c>
      <c r="U66" s="309">
        <f t="shared" si="6"/>
        <v>0</v>
      </c>
      <c r="V66" s="309">
        <f t="shared" si="6"/>
        <v>0.041783775491301564</v>
      </c>
      <c r="W66" s="309">
        <f t="shared" si="6"/>
        <v>0</v>
      </c>
      <c r="X66" s="309">
        <f t="shared" si="6"/>
        <v>1.1845491432906536</v>
      </c>
      <c r="Y66" s="309">
        <f t="shared" si="6"/>
        <v>0</v>
      </c>
      <c r="Z66" s="309">
        <f t="shared" si="6"/>
        <v>652</v>
      </c>
      <c r="AA66" s="309">
        <f t="shared" si="6"/>
        <v>0</v>
      </c>
      <c r="AB66" s="400">
        <f t="shared" si="6"/>
        <v>930</v>
      </c>
      <c r="AC66" s="309">
        <f t="shared" si="6"/>
        <v>0</v>
      </c>
      <c r="AD66" s="309">
        <f t="shared" si="6"/>
        <v>1.231744250557154</v>
      </c>
      <c r="AE66" s="309">
        <f t="shared" si="6"/>
        <v>0</v>
      </c>
      <c r="AF66" s="309">
        <f t="shared" si="6"/>
        <v>0.008320347492383258</v>
      </c>
      <c r="AH66" s="335">
        <f>B66/AF66</f>
        <v>261.73275625794264</v>
      </c>
    </row>
    <row r="67" spans="1:32" ht="12.75">
      <c r="A67" s="241"/>
      <c r="B67" s="208"/>
      <c r="C67" s="208"/>
      <c r="D67" s="208"/>
      <c r="E67" s="208"/>
      <c r="F67" s="208"/>
      <c r="G67" s="208"/>
      <c r="H67" s="208"/>
      <c r="I67" s="208"/>
      <c r="J67" s="208"/>
      <c r="K67" s="208"/>
      <c r="L67" s="208"/>
      <c r="M67" s="208"/>
      <c r="N67" s="208"/>
      <c r="O67" s="208"/>
      <c r="P67" s="41"/>
      <c r="Q67" s="208"/>
      <c r="R67" s="208"/>
      <c r="S67" s="208"/>
      <c r="T67" s="208"/>
      <c r="U67" s="208"/>
      <c r="V67" s="208"/>
      <c r="W67" s="208"/>
      <c r="X67" s="208"/>
      <c r="Y67" s="208"/>
      <c r="Z67" s="208"/>
      <c r="AA67" s="208"/>
      <c r="AB67" s="403"/>
      <c r="AC67" s="208"/>
      <c r="AD67" s="208"/>
      <c r="AE67" s="208"/>
      <c r="AF67" s="208"/>
    </row>
    <row r="68" spans="1:32" ht="12.75">
      <c r="A68" s="337" t="s">
        <v>453</v>
      </c>
      <c r="B68" s="208"/>
      <c r="C68" s="208"/>
      <c r="D68" s="208"/>
      <c r="E68" s="208"/>
      <c r="F68" s="208"/>
      <c r="G68" s="208"/>
      <c r="H68" s="208"/>
      <c r="I68" s="208"/>
      <c r="J68" s="208"/>
      <c r="K68" s="208"/>
      <c r="L68" s="208"/>
      <c r="M68" s="208"/>
      <c r="N68" s="208"/>
      <c r="O68" s="208"/>
      <c r="P68" s="41"/>
      <c r="Q68" s="208"/>
      <c r="R68" s="208"/>
      <c r="S68" s="208"/>
      <c r="T68" s="208"/>
      <c r="U68" s="208"/>
      <c r="V68" s="208"/>
      <c r="W68" s="208"/>
      <c r="X68" s="208"/>
      <c r="Y68" s="208"/>
      <c r="Z68" s="208"/>
      <c r="AA68" s="208"/>
      <c r="AB68" s="403"/>
      <c r="AC68" s="208"/>
      <c r="AD68" s="208"/>
      <c r="AE68" s="208"/>
      <c r="AF68" s="208"/>
    </row>
    <row r="69" spans="1:32" ht="12.75">
      <c r="A69" s="233" t="s">
        <v>85</v>
      </c>
      <c r="B69" s="272">
        <v>0.12589850217026527</v>
      </c>
      <c r="C69" s="208"/>
      <c r="D69" s="208">
        <v>9</v>
      </c>
      <c r="E69" s="208"/>
      <c r="F69" s="208">
        <v>0.1145676369749414</v>
      </c>
      <c r="G69" s="208"/>
      <c r="H69" s="208">
        <v>35.05755274152872</v>
      </c>
      <c r="I69" s="208"/>
      <c r="J69" s="208">
        <v>0.07440302721772815</v>
      </c>
      <c r="K69" s="208"/>
      <c r="L69" s="208">
        <v>7</v>
      </c>
      <c r="M69" s="208"/>
      <c r="N69" s="208">
        <v>10</v>
      </c>
      <c r="O69" s="208"/>
      <c r="P69" s="41">
        <f>0.01*50.9489695856766</f>
        <v>0.5094896958567661</v>
      </c>
      <c r="Q69" s="208"/>
      <c r="R69" s="208">
        <v>0.061754512590714385</v>
      </c>
      <c r="S69" s="208"/>
      <c r="T69" s="208"/>
      <c r="U69" s="208"/>
      <c r="V69" s="208">
        <v>0.002707047127264192</v>
      </c>
      <c r="W69" s="208"/>
      <c r="X69" s="208">
        <v>0.07674343253437621</v>
      </c>
      <c r="Y69" s="208"/>
      <c r="Z69" s="208">
        <v>706.5</v>
      </c>
      <c r="AA69" s="208"/>
      <c r="AB69" s="403">
        <v>160</v>
      </c>
      <c r="AC69" s="208"/>
      <c r="AD69" s="208">
        <v>0.338870219284605</v>
      </c>
      <c r="AE69" s="208"/>
      <c r="AF69" s="208">
        <v>0.00047964645333985125</v>
      </c>
    </row>
    <row r="70" spans="1:32" ht="12.75">
      <c r="A70" s="233" t="s">
        <v>96</v>
      </c>
      <c r="B70" s="208">
        <v>0.6232823420147374</v>
      </c>
      <c r="C70" s="208"/>
      <c r="D70" s="208">
        <v>82.01438848920863</v>
      </c>
      <c r="E70" s="208"/>
      <c r="F70" s="208">
        <v>0.1121011406501327</v>
      </c>
      <c r="G70" s="208"/>
      <c r="H70" s="208">
        <v>6</v>
      </c>
      <c r="I70" s="208"/>
      <c r="J70" s="208">
        <v>0.10537507221112474</v>
      </c>
      <c r="K70" s="208"/>
      <c r="L70" s="208">
        <v>0</v>
      </c>
      <c r="M70" s="208"/>
      <c r="N70" s="208">
        <v>11</v>
      </c>
      <c r="O70" s="208"/>
      <c r="P70" s="41">
        <f>0.01*84.9532374100719</f>
        <v>0.8495323741007191</v>
      </c>
      <c r="Q70" s="208"/>
      <c r="R70" s="208">
        <v>0.09378381426790101</v>
      </c>
      <c r="S70" s="208"/>
      <c r="T70" s="208"/>
      <c r="U70" s="208"/>
      <c r="V70" s="208">
        <v>0.004111071310373743</v>
      </c>
      <c r="W70" s="208"/>
      <c r="X70" s="208">
        <v>0.11654681611344042</v>
      </c>
      <c r="Y70" s="208"/>
      <c r="Z70" s="208">
        <v>157</v>
      </c>
      <c r="AA70" s="208"/>
      <c r="AB70" s="403">
        <v>65</v>
      </c>
      <c r="AC70" s="208"/>
      <c r="AD70" s="208">
        <v>0.2815053866124638</v>
      </c>
      <c r="AE70" s="208"/>
      <c r="AF70" s="208">
        <v>0.0017930279402067757</v>
      </c>
    </row>
    <row r="71" spans="1:32" ht="12.75">
      <c r="A71" s="233" t="s">
        <v>86</v>
      </c>
      <c r="B71" s="208">
        <v>0.1321211701136433</v>
      </c>
      <c r="C71" s="208"/>
      <c r="D71" s="208">
        <v>30.555555555555554</v>
      </c>
      <c r="E71" s="208"/>
      <c r="F71" s="208">
        <v>0.09175081257891896</v>
      </c>
      <c r="G71" s="208"/>
      <c r="H71" s="208">
        <v>6</v>
      </c>
      <c r="I71" s="208"/>
      <c r="J71" s="208">
        <v>0.08624576382418381</v>
      </c>
      <c r="K71" s="208"/>
      <c r="L71" s="208">
        <v>0</v>
      </c>
      <c r="M71" s="208"/>
      <c r="N71" s="208">
        <v>27</v>
      </c>
      <c r="O71" s="208"/>
      <c r="P71" s="41">
        <f>0.01*52.3472222222222</f>
        <v>0.523472222222222</v>
      </c>
      <c r="Q71" s="208"/>
      <c r="R71" s="208">
        <v>0.06295940759165417</v>
      </c>
      <c r="S71" s="208"/>
      <c r="T71" s="208"/>
      <c r="U71" s="208"/>
      <c r="V71" s="208">
        <v>0.002759864442373882</v>
      </c>
      <c r="W71" s="208"/>
      <c r="X71" s="208">
        <v>0.07824077700907836</v>
      </c>
      <c r="Y71" s="208"/>
      <c r="Z71" s="208">
        <v>50</v>
      </c>
      <c r="AA71" s="208"/>
      <c r="AB71" s="403">
        <v>227</v>
      </c>
      <c r="AC71" s="208"/>
      <c r="AD71" s="208">
        <v>0.017233651323585543</v>
      </c>
      <c r="AE71" s="208"/>
      <c r="AF71" s="208">
        <v>0.0003446730264717108</v>
      </c>
    </row>
    <row r="72" spans="1:32" ht="12.75">
      <c r="A72" s="233" t="s">
        <v>87</v>
      </c>
      <c r="B72" s="208">
        <v>0.7633288038034733</v>
      </c>
      <c r="C72" s="208"/>
      <c r="D72" s="208">
        <v>9.090909090909093</v>
      </c>
      <c r="E72" s="208"/>
      <c r="F72" s="208">
        <v>0.6939352761849756</v>
      </c>
      <c r="G72" s="208"/>
      <c r="H72" s="208">
        <v>6</v>
      </c>
      <c r="I72" s="208"/>
      <c r="J72" s="208">
        <v>0.6522991596138771</v>
      </c>
      <c r="K72" s="208"/>
      <c r="L72" s="208">
        <v>0</v>
      </c>
      <c r="M72" s="208"/>
      <c r="N72" s="208">
        <v>35</v>
      </c>
      <c r="O72" s="208"/>
      <c r="P72" s="41">
        <f>0.01*44.4545454545455</f>
        <v>0.444545454545455</v>
      </c>
      <c r="Q72" s="208"/>
      <c r="R72" s="208">
        <v>0.4239944537490201</v>
      </c>
      <c r="S72" s="208"/>
      <c r="T72" s="208"/>
      <c r="U72" s="208"/>
      <c r="V72" s="208">
        <v>0.018586058246532387</v>
      </c>
      <c r="W72" s="208"/>
      <c r="X72" s="208">
        <v>0.5269054582600698</v>
      </c>
      <c r="Y72" s="208"/>
      <c r="Z72" s="208">
        <v>83</v>
      </c>
      <c r="AA72" s="208"/>
      <c r="AB72" s="403">
        <v>173</v>
      </c>
      <c r="AC72" s="208"/>
      <c r="AD72" s="208">
        <v>0.25279279211321276</v>
      </c>
      <c r="AE72" s="208"/>
      <c r="AF72" s="208">
        <v>0.003045696290520635</v>
      </c>
    </row>
    <row r="73" spans="1:34" ht="12.75">
      <c r="A73" s="338" t="s">
        <v>63</v>
      </c>
      <c r="B73" s="309">
        <f>SUM(B69:B72)</f>
        <v>1.6446308181021194</v>
      </c>
      <c r="C73" s="309"/>
      <c r="D73" s="309"/>
      <c r="E73" s="309"/>
      <c r="F73" s="309"/>
      <c r="G73" s="309"/>
      <c r="H73" s="309"/>
      <c r="I73" s="309"/>
      <c r="J73" s="309"/>
      <c r="K73" s="309"/>
      <c r="L73" s="309"/>
      <c r="M73" s="309"/>
      <c r="N73" s="309"/>
      <c r="O73" s="309"/>
      <c r="P73" s="310">
        <f>1-(R73/B73)</f>
        <v>0.6093395665899557</v>
      </c>
      <c r="Q73" s="309"/>
      <c r="R73" s="309">
        <f>SUM(R69:R72)</f>
        <v>0.6424921881992897</v>
      </c>
      <c r="S73" s="309">
        <f>SUM(S71:S72)</f>
        <v>0</v>
      </c>
      <c r="T73" s="309">
        <f>SUM(T71:T72)</f>
        <v>0</v>
      </c>
      <c r="U73" s="309">
        <f>SUM(U71:U72)</f>
        <v>0</v>
      </c>
      <c r="V73" s="309">
        <f>SUM(V69:V72)</f>
        <v>0.028164041126544206</v>
      </c>
      <c r="W73" s="309">
        <f>SUM(W71:W72)</f>
        <v>0</v>
      </c>
      <c r="X73" s="309">
        <f>SUM(X69:X72)</f>
        <v>0.7984364839169649</v>
      </c>
      <c r="Y73" s="309">
        <f>SUM(Y71:Y72)</f>
        <v>0</v>
      </c>
      <c r="Z73" s="309">
        <f>SUM(Z71:Z72)</f>
        <v>133</v>
      </c>
      <c r="AA73" s="309">
        <f>SUM(AA71:AA72)</f>
        <v>0</v>
      </c>
      <c r="AB73" s="400">
        <f>SUM(AB71:AB72)</f>
        <v>400</v>
      </c>
      <c r="AC73" s="309">
        <f>SUM(AC71:AC72)</f>
        <v>0</v>
      </c>
      <c r="AD73" s="309">
        <f>SUM(AD69:AD72)</f>
        <v>0.8904020493338671</v>
      </c>
      <c r="AE73" s="309">
        <f>SUM(AE71:AE72)</f>
        <v>0</v>
      </c>
      <c r="AF73" s="309">
        <f>SUM(AF69:AF72)</f>
        <v>0.005663043710538973</v>
      </c>
      <c r="AH73" s="335">
        <f>B73/AF73</f>
        <v>290.41464310816593</v>
      </c>
    </row>
    <row r="74" spans="1:32" ht="12.75">
      <c r="A74" s="233"/>
      <c r="B74" s="208"/>
      <c r="C74" s="208"/>
      <c r="D74" s="208"/>
      <c r="E74" s="208"/>
      <c r="F74" s="208"/>
      <c r="G74" s="208"/>
      <c r="H74" s="208"/>
      <c r="I74" s="208"/>
      <c r="J74" s="208"/>
      <c r="K74" s="208"/>
      <c r="L74" s="208"/>
      <c r="M74" s="208"/>
      <c r="N74" s="208"/>
      <c r="O74" s="208"/>
      <c r="P74" s="41"/>
      <c r="Q74" s="208"/>
      <c r="R74" s="208"/>
      <c r="S74" s="208"/>
      <c r="T74" s="208"/>
      <c r="U74" s="208"/>
      <c r="W74" s="208"/>
      <c r="X74" s="208"/>
      <c r="Y74" s="208"/>
      <c r="Z74" s="208"/>
      <c r="AA74" s="208"/>
      <c r="AB74" s="403"/>
      <c r="AC74" s="208"/>
      <c r="AD74" s="208"/>
      <c r="AE74" s="208"/>
      <c r="AF74" s="208"/>
    </row>
    <row r="75" spans="1:32" ht="12.75">
      <c r="A75" s="337" t="s">
        <v>454</v>
      </c>
      <c r="B75" s="208"/>
      <c r="C75" s="208"/>
      <c r="D75" s="208"/>
      <c r="E75" s="208"/>
      <c r="F75" s="208"/>
      <c r="G75" s="208"/>
      <c r="H75" s="208"/>
      <c r="I75" s="208"/>
      <c r="J75" s="208"/>
      <c r="K75" s="208"/>
      <c r="L75" s="208"/>
      <c r="M75" s="208"/>
      <c r="N75" s="208"/>
      <c r="O75" s="208"/>
      <c r="P75" s="41"/>
      <c r="Q75" s="208"/>
      <c r="R75" s="208"/>
      <c r="S75" s="208"/>
      <c r="T75" s="208"/>
      <c r="U75" s="208"/>
      <c r="V75" s="208"/>
      <c r="W75" s="208"/>
      <c r="X75" s="208"/>
      <c r="Y75" s="208"/>
      <c r="Z75" s="208"/>
      <c r="AA75" s="208"/>
      <c r="AB75" s="403"/>
      <c r="AC75" s="208"/>
      <c r="AD75" s="208"/>
      <c r="AE75" s="208"/>
      <c r="AF75" s="208"/>
    </row>
    <row r="76" spans="1:34" ht="12.75">
      <c r="A76" s="233" t="s">
        <v>87</v>
      </c>
      <c r="B76" s="208">
        <v>0.0909637550580846</v>
      </c>
      <c r="C76" s="208"/>
      <c r="D76" s="208">
        <v>0</v>
      </c>
      <c r="E76" s="208"/>
      <c r="F76" s="208">
        <v>0.0909637550580846</v>
      </c>
      <c r="G76" s="208"/>
      <c r="H76" s="208">
        <v>6</v>
      </c>
      <c r="I76" s="208"/>
      <c r="J76" s="208">
        <v>0.08550592975459952</v>
      </c>
      <c r="K76" s="208"/>
      <c r="L76" s="208">
        <v>0</v>
      </c>
      <c r="M76" s="208"/>
      <c r="N76" s="208">
        <v>40</v>
      </c>
      <c r="O76" s="208"/>
      <c r="P76" s="41">
        <f>0.01*43.6</f>
        <v>0.436</v>
      </c>
      <c r="Q76" s="208"/>
      <c r="R76" s="208">
        <v>0.05130355785275971</v>
      </c>
      <c r="S76" s="208"/>
      <c r="T76" s="208"/>
      <c r="U76" s="208"/>
      <c r="V76" s="208">
        <v>0.0022489230839565903</v>
      </c>
      <c r="W76" s="208"/>
      <c r="X76" s="208">
        <v>0.06375584496862734</v>
      </c>
      <c r="Y76" s="208"/>
      <c r="Z76" s="208">
        <v>97</v>
      </c>
      <c r="AA76" s="208"/>
      <c r="AB76" s="403">
        <v>151</v>
      </c>
      <c r="AC76" s="208"/>
      <c r="AD76" s="208">
        <v>0.04095574146991293</v>
      </c>
      <c r="AE76" s="208"/>
      <c r="AF76" s="208">
        <v>0.0004222241388650818</v>
      </c>
      <c r="AH76" s="129">
        <f>B76/AF76</f>
        <v>215.43949453622147</v>
      </c>
    </row>
    <row r="77" spans="1:32" ht="12.75">
      <c r="A77" s="233"/>
      <c r="B77" s="208"/>
      <c r="C77" s="208"/>
      <c r="D77" s="208"/>
      <c r="E77" s="208"/>
      <c r="F77" s="208"/>
      <c r="G77" s="208"/>
      <c r="H77" s="208"/>
      <c r="I77" s="208"/>
      <c r="J77" s="208"/>
      <c r="K77" s="208"/>
      <c r="L77" s="208"/>
      <c r="M77" s="208"/>
      <c r="N77" s="208"/>
      <c r="O77" s="208"/>
      <c r="P77" s="41"/>
      <c r="Q77" s="208"/>
      <c r="R77" s="208"/>
      <c r="S77" s="208"/>
      <c r="T77" s="208"/>
      <c r="U77" s="208"/>
      <c r="V77" s="208"/>
      <c r="W77" s="208"/>
      <c r="X77" s="208"/>
      <c r="Y77" s="208"/>
      <c r="Z77" s="208"/>
      <c r="AA77" s="208"/>
      <c r="AB77" s="403"/>
      <c r="AC77" s="208"/>
      <c r="AD77" s="208"/>
      <c r="AE77" s="208"/>
      <c r="AF77" s="208"/>
    </row>
    <row r="78" spans="1:32" ht="12.75">
      <c r="A78" s="337" t="s">
        <v>455</v>
      </c>
      <c r="B78" s="208"/>
      <c r="C78" s="208"/>
      <c r="D78" s="208"/>
      <c r="E78" s="208"/>
      <c r="F78" s="208"/>
      <c r="G78" s="208"/>
      <c r="H78" s="208"/>
      <c r="I78" s="208"/>
      <c r="J78" s="208"/>
      <c r="K78" s="208"/>
      <c r="L78" s="208"/>
      <c r="M78" s="208"/>
      <c r="N78" s="208"/>
      <c r="O78" s="208"/>
      <c r="P78" s="41"/>
      <c r="Q78" s="208"/>
      <c r="R78" s="208"/>
      <c r="S78" s="208"/>
      <c r="T78" s="208"/>
      <c r="U78" s="208"/>
      <c r="V78" s="208"/>
      <c r="W78" s="208"/>
      <c r="X78" s="208"/>
      <c r="Y78" s="208"/>
      <c r="Z78" s="208"/>
      <c r="AA78" s="208"/>
      <c r="AB78" s="403"/>
      <c r="AC78" s="208"/>
      <c r="AD78" s="208"/>
      <c r="AE78" s="208"/>
      <c r="AF78" s="208"/>
    </row>
    <row r="79" spans="1:34" ht="12.75">
      <c r="A79" s="233" t="s">
        <v>85</v>
      </c>
      <c r="B79" s="208">
        <v>9.072462757556593</v>
      </c>
      <c r="C79" s="208"/>
      <c r="D79" s="208">
        <v>8</v>
      </c>
      <c r="E79" s="208"/>
      <c r="F79" s="208">
        <v>8.346665736952065</v>
      </c>
      <c r="G79" s="208"/>
      <c r="H79" s="208">
        <v>12.198975570771644</v>
      </c>
      <c r="I79" s="208"/>
      <c r="J79" s="208">
        <v>7.3284580227273155</v>
      </c>
      <c r="K79" s="208"/>
      <c r="L79" s="208">
        <v>49</v>
      </c>
      <c r="M79" s="208"/>
      <c r="N79" s="208">
        <v>43</v>
      </c>
      <c r="O79" s="208"/>
      <c r="P79" s="41">
        <f>0.01*93.5378446020088</f>
        <v>0.935378446020088</v>
      </c>
      <c r="Q79" s="208"/>
      <c r="R79" s="208">
        <v>0.5862766418181853</v>
      </c>
      <c r="S79" s="208"/>
      <c r="T79" s="208"/>
      <c r="U79" s="208"/>
      <c r="V79" s="208">
        <v>0.025699797997509495</v>
      </c>
      <c r="W79" s="208"/>
      <c r="X79" s="208">
        <v>0.7285764233303953</v>
      </c>
      <c r="Y79" s="208"/>
      <c r="Z79" s="208">
        <v>53.3</v>
      </c>
      <c r="AA79" s="208"/>
      <c r="AB79" s="403">
        <v>157</v>
      </c>
      <c r="AC79" s="208"/>
      <c r="AD79" s="208">
        <v>0.24734473479942717</v>
      </c>
      <c r="AE79" s="208"/>
      <c r="AF79" s="208">
        <v>0.004640614161340097</v>
      </c>
      <c r="AH79" s="129">
        <f>B79/AF79</f>
        <v>1955.0133758452105</v>
      </c>
    </row>
    <row r="80" spans="1:32" ht="12.75">
      <c r="A80" s="233"/>
      <c r="B80" s="208"/>
      <c r="C80" s="208"/>
      <c r="D80" s="208"/>
      <c r="E80" s="208"/>
      <c r="F80" s="208"/>
      <c r="G80" s="208"/>
      <c r="H80" s="208"/>
      <c r="I80" s="208"/>
      <c r="J80" s="208"/>
      <c r="K80" s="208"/>
      <c r="L80" s="208"/>
      <c r="M80" s="208"/>
      <c r="N80" s="208"/>
      <c r="O80" s="208"/>
      <c r="P80" s="41"/>
      <c r="Q80" s="208"/>
      <c r="R80" s="208"/>
      <c r="S80" s="208"/>
      <c r="T80" s="208"/>
      <c r="U80" s="208"/>
      <c r="V80" s="208"/>
      <c r="W80" s="208"/>
      <c r="X80" s="208"/>
      <c r="Y80" s="208"/>
      <c r="Z80" s="208"/>
      <c r="AA80" s="208"/>
      <c r="AB80" s="403"/>
      <c r="AC80" s="208"/>
      <c r="AD80" s="208"/>
      <c r="AE80" s="208"/>
      <c r="AF80" s="208"/>
    </row>
    <row r="81" spans="1:32" ht="12.75">
      <c r="A81" s="337" t="s">
        <v>456</v>
      </c>
      <c r="B81" s="208"/>
      <c r="C81" s="208"/>
      <c r="D81" s="208"/>
      <c r="E81" s="208"/>
      <c r="F81" s="208"/>
      <c r="G81" s="208"/>
      <c r="H81" s="208"/>
      <c r="I81" s="208"/>
      <c r="J81" s="208"/>
      <c r="K81" s="208"/>
      <c r="L81" s="208"/>
      <c r="M81" s="208"/>
      <c r="N81" s="208"/>
      <c r="O81" s="208"/>
      <c r="P81" s="41"/>
      <c r="Q81" s="208"/>
      <c r="R81" s="208"/>
      <c r="S81" s="208"/>
      <c r="T81" s="208"/>
      <c r="U81" s="208"/>
      <c r="V81" s="208"/>
      <c r="W81" s="208"/>
      <c r="X81" s="208"/>
      <c r="Y81" s="208"/>
      <c r="Z81" s="208"/>
      <c r="AA81" s="208"/>
      <c r="AB81" s="403"/>
      <c r="AC81" s="208"/>
      <c r="AD81" s="208"/>
      <c r="AE81" s="208"/>
      <c r="AF81" s="208"/>
    </row>
    <row r="82" spans="1:32" ht="12.75">
      <c r="A82" s="233" t="s">
        <v>85</v>
      </c>
      <c r="B82" s="208">
        <v>1.2353887991317893</v>
      </c>
      <c r="C82" s="208"/>
      <c r="D82" s="208">
        <v>8</v>
      </c>
      <c r="E82" s="208"/>
      <c r="F82" s="208">
        <v>1.1365576952012464</v>
      </c>
      <c r="G82" s="208"/>
      <c r="H82" s="208">
        <v>3.8721252909784467</v>
      </c>
      <c r="I82" s="208"/>
      <c r="J82" s="208">
        <v>1.092548757238797</v>
      </c>
      <c r="K82" s="208"/>
      <c r="L82" s="208">
        <v>9</v>
      </c>
      <c r="M82" s="208"/>
      <c r="N82" s="208">
        <v>51</v>
      </c>
      <c r="O82" s="208"/>
      <c r="P82" s="41">
        <f>0.01*64.6249421070801</f>
        <v>0.6462494210708011</v>
      </c>
      <c r="Q82" s="208"/>
      <c r="R82" s="208">
        <v>0.43701950289551883</v>
      </c>
      <c r="S82" s="208"/>
      <c r="T82" s="208"/>
      <c r="U82" s="208"/>
      <c r="V82" s="208">
        <v>0.019157019305009047</v>
      </c>
      <c r="W82" s="208"/>
      <c r="X82" s="208">
        <v>0.543091918787354</v>
      </c>
      <c r="Y82" s="208"/>
      <c r="Z82" s="208">
        <v>85</v>
      </c>
      <c r="AA82" s="208"/>
      <c r="AB82" s="403">
        <v>154.4</v>
      </c>
      <c r="AC82" s="208"/>
      <c r="AD82" s="208">
        <v>0.2989819501096184</v>
      </c>
      <c r="AE82" s="208"/>
      <c r="AF82" s="208">
        <v>0.0035174347071719814</v>
      </c>
    </row>
    <row r="83" spans="1:32" ht="12.75">
      <c r="A83" s="233" t="s">
        <v>457</v>
      </c>
      <c r="B83" s="208">
        <v>0.01503444443693835</v>
      </c>
      <c r="C83" s="208"/>
      <c r="D83" s="208">
        <v>16.317991631799167</v>
      </c>
      <c r="E83" s="208"/>
      <c r="F83" s="208">
        <v>0.012581125051831255</v>
      </c>
      <c r="G83" s="208"/>
      <c r="H83" s="208">
        <v>6</v>
      </c>
      <c r="I83" s="208"/>
      <c r="J83" s="208">
        <v>0.011826257548721379</v>
      </c>
      <c r="K83" s="208"/>
      <c r="L83" s="208">
        <v>0</v>
      </c>
      <c r="M83" s="208"/>
      <c r="N83" s="208">
        <v>32</v>
      </c>
      <c r="O83" s="208"/>
      <c r="P83" s="41">
        <f>0.01*46.510460251046</f>
        <v>0.46510460251046</v>
      </c>
      <c r="Q83" s="208"/>
      <c r="R83" s="208">
        <v>0.008041855133130538</v>
      </c>
      <c r="S83" s="208"/>
      <c r="T83" s="208"/>
      <c r="U83" s="208"/>
      <c r="V83" s="208">
        <v>0.0003525196770687359</v>
      </c>
      <c r="W83" s="208"/>
      <c r="X83" s="208">
        <v>0.009993756585060127</v>
      </c>
      <c r="Y83" s="208"/>
      <c r="Z83" s="208">
        <v>101</v>
      </c>
      <c r="AA83" s="208"/>
      <c r="AB83" s="403">
        <v>246</v>
      </c>
      <c r="AC83" s="208"/>
      <c r="AD83" s="208">
        <v>0.004103127703622247</v>
      </c>
      <c r="AE83" s="208"/>
      <c r="AF83" s="208">
        <v>4.0625026768537106E-05</v>
      </c>
    </row>
    <row r="84" spans="1:32" ht="12.75">
      <c r="A84" s="233" t="s">
        <v>458</v>
      </c>
      <c r="B84" s="208">
        <v>0.11853450657624862</v>
      </c>
      <c r="C84" s="208"/>
      <c r="D84" s="208">
        <v>4.999999999999993</v>
      </c>
      <c r="E84" s="208"/>
      <c r="F84" s="208">
        <v>0.1126077812474362</v>
      </c>
      <c r="G84" s="208"/>
      <c r="H84" s="208">
        <v>6</v>
      </c>
      <c r="I84" s="208"/>
      <c r="J84" s="208">
        <v>0.10585131437259003</v>
      </c>
      <c r="K84" s="208"/>
      <c r="L84" s="208">
        <v>0</v>
      </c>
      <c r="M84" s="208"/>
      <c r="N84" s="208">
        <v>32</v>
      </c>
      <c r="O84" s="208"/>
      <c r="P84" s="41">
        <f>0.01*39.276</f>
        <v>0.39276000000000005</v>
      </c>
      <c r="Q84" s="208"/>
      <c r="R84" s="208">
        <v>0.07197889377336122</v>
      </c>
      <c r="S84" s="208"/>
      <c r="T84" s="208"/>
      <c r="U84" s="208"/>
      <c r="V84" s="208">
        <v>0.0031552391791062452</v>
      </c>
      <c r="W84" s="208"/>
      <c r="X84" s="208">
        <v>0.08944945310807251</v>
      </c>
      <c r="Y84" s="208"/>
      <c r="Z84" s="208">
        <v>101</v>
      </c>
      <c r="AA84" s="208"/>
      <c r="AB84" s="403">
        <v>246</v>
      </c>
      <c r="AC84" s="208"/>
      <c r="AD84" s="208">
        <v>0.03672518196713546</v>
      </c>
      <c r="AE84" s="208"/>
      <c r="AF84" s="208">
        <v>0.0003636156630409451</v>
      </c>
    </row>
    <row r="85" spans="1:32" ht="12.75">
      <c r="A85" s="233" t="s">
        <v>459</v>
      </c>
      <c r="B85" s="208">
        <v>0.2115060595952162</v>
      </c>
      <c r="C85" s="208"/>
      <c r="D85" s="208">
        <v>15.254237288135588</v>
      </c>
      <c r="E85" s="208"/>
      <c r="F85" s="208">
        <v>0.17924242338577642</v>
      </c>
      <c r="G85" s="208"/>
      <c r="H85" s="208">
        <v>6</v>
      </c>
      <c r="I85" s="208"/>
      <c r="J85" s="208">
        <v>0.16848787798262985</v>
      </c>
      <c r="K85" s="208"/>
      <c r="L85" s="208">
        <v>0</v>
      </c>
      <c r="M85" s="208"/>
      <c r="N85" s="208">
        <v>29</v>
      </c>
      <c r="O85" s="208"/>
      <c r="P85" s="41">
        <f>0.01*43.4406779661017</f>
        <v>0.43440677966101704</v>
      </c>
      <c r="Q85" s="208"/>
      <c r="R85" s="208">
        <v>0.1196263933676672</v>
      </c>
      <c r="S85" s="208"/>
      <c r="T85" s="208"/>
      <c r="U85" s="208"/>
      <c r="V85" s="208">
        <v>0.005243896695568974</v>
      </c>
      <c r="W85" s="208"/>
      <c r="X85" s="208">
        <v>0.1486618493710326</v>
      </c>
      <c r="Y85" s="208"/>
      <c r="Z85" s="208">
        <v>71</v>
      </c>
      <c r="AA85" s="208"/>
      <c r="AB85" s="403">
        <v>155</v>
      </c>
      <c r="AC85" s="208"/>
      <c r="AD85" s="208">
        <v>0.06809671809898912</v>
      </c>
      <c r="AE85" s="208"/>
      <c r="AF85" s="208">
        <v>0.0009591087056195652</v>
      </c>
    </row>
    <row r="86" spans="1:32" ht="12.75">
      <c r="A86" s="233" t="s">
        <v>460</v>
      </c>
      <c r="B86" s="208">
        <v>0.5518227442082572</v>
      </c>
      <c r="C86" s="208"/>
      <c r="D86" s="208">
        <v>9.90990990990992</v>
      </c>
      <c r="E86" s="208"/>
      <c r="F86" s="208">
        <v>0.4971376073948262</v>
      </c>
      <c r="G86" s="208"/>
      <c r="H86" s="208">
        <v>6</v>
      </c>
      <c r="I86" s="208"/>
      <c r="J86" s="208">
        <v>0.4673093509511366</v>
      </c>
      <c r="K86" s="208"/>
      <c r="L86" s="208">
        <v>0</v>
      </c>
      <c r="M86" s="208"/>
      <c r="N86" s="208">
        <v>29</v>
      </c>
      <c r="O86" s="208"/>
      <c r="P86" s="41">
        <f>0.01*39.8738738738739</f>
        <v>0.398738738738739</v>
      </c>
      <c r="Q86" s="208"/>
      <c r="R86" s="208">
        <v>0.33178963917530696</v>
      </c>
      <c r="S86" s="208"/>
      <c r="T86" s="208"/>
      <c r="U86" s="208"/>
      <c r="V86" s="208">
        <v>0.014544203361109348</v>
      </c>
      <c r="W86" s="208"/>
      <c r="X86" s="208">
        <v>0.4123208931857694</v>
      </c>
      <c r="Y86" s="208"/>
      <c r="Z86" s="208">
        <v>71</v>
      </c>
      <c r="AA86" s="208"/>
      <c r="AB86" s="403">
        <v>155</v>
      </c>
      <c r="AC86" s="208"/>
      <c r="AD86" s="208">
        <v>0.18886957042702984</v>
      </c>
      <c r="AE86" s="208"/>
      <c r="AF86" s="208">
        <v>0.002660134794746899</v>
      </c>
    </row>
    <row r="87" spans="1:34" ht="12.75">
      <c r="A87" s="338" t="s">
        <v>63</v>
      </c>
      <c r="B87" s="309">
        <f>SUM(B82:B86)</f>
        <v>2.13228655394845</v>
      </c>
      <c r="C87" s="309"/>
      <c r="D87" s="309"/>
      <c r="E87" s="309"/>
      <c r="F87" s="309"/>
      <c r="G87" s="309"/>
      <c r="H87" s="309"/>
      <c r="I87" s="309"/>
      <c r="J87" s="309"/>
      <c r="K87" s="309"/>
      <c r="L87" s="309"/>
      <c r="M87" s="309"/>
      <c r="N87" s="309"/>
      <c r="O87" s="309"/>
      <c r="P87" s="310">
        <f>1-(R87/B87)</f>
        <v>0.5458132573449608</v>
      </c>
      <c r="Q87" s="309"/>
      <c r="R87" s="309">
        <f aca="true" t="shared" si="7" ref="R87:AF87">SUM(R82:R86)</f>
        <v>0.9684562843449849</v>
      </c>
      <c r="S87" s="309">
        <f t="shared" si="7"/>
        <v>0</v>
      </c>
      <c r="T87" s="309">
        <f t="shared" si="7"/>
        <v>0</v>
      </c>
      <c r="U87" s="309">
        <f t="shared" si="7"/>
        <v>0</v>
      </c>
      <c r="V87" s="309">
        <f t="shared" si="7"/>
        <v>0.04245287821786235</v>
      </c>
      <c r="W87" s="309">
        <f t="shared" si="7"/>
        <v>0</v>
      </c>
      <c r="X87" s="309">
        <f t="shared" si="7"/>
        <v>1.2035178710372885</v>
      </c>
      <c r="Y87" s="309">
        <f t="shared" si="7"/>
        <v>0</v>
      </c>
      <c r="Z87" s="309">
        <f t="shared" si="7"/>
        <v>429</v>
      </c>
      <c r="AA87" s="309">
        <f t="shared" si="7"/>
        <v>0</v>
      </c>
      <c r="AB87" s="400">
        <f t="shared" si="7"/>
        <v>956.4</v>
      </c>
      <c r="AC87" s="309">
        <f t="shared" si="7"/>
        <v>0</v>
      </c>
      <c r="AD87" s="309">
        <f t="shared" si="7"/>
        <v>0.5967765483063951</v>
      </c>
      <c r="AE87" s="309">
        <f t="shared" si="7"/>
        <v>0</v>
      </c>
      <c r="AF87" s="309">
        <f t="shared" si="7"/>
        <v>0.007540918897347928</v>
      </c>
      <c r="AH87" s="335">
        <f>B87/AF87</f>
        <v>282.762165059003</v>
      </c>
    </row>
    <row r="88" spans="1:32" ht="12.75">
      <c r="A88" s="233"/>
      <c r="B88" s="208"/>
      <c r="C88" s="208"/>
      <c r="D88" s="208"/>
      <c r="E88" s="208"/>
      <c r="F88" s="208"/>
      <c r="G88" s="208"/>
      <c r="H88" s="208"/>
      <c r="I88" s="208"/>
      <c r="J88" s="208"/>
      <c r="K88" s="208"/>
      <c r="L88" s="208"/>
      <c r="M88" s="208"/>
      <c r="N88" s="208"/>
      <c r="O88" s="208"/>
      <c r="P88" s="41"/>
      <c r="Q88" s="208"/>
      <c r="R88" s="208"/>
      <c r="S88" s="208"/>
      <c r="T88" s="208"/>
      <c r="U88" s="208"/>
      <c r="V88" s="208"/>
      <c r="W88" s="208"/>
      <c r="X88" s="208"/>
      <c r="Y88" s="208"/>
      <c r="Z88" s="208"/>
      <c r="AA88" s="208"/>
      <c r="AB88" s="403"/>
      <c r="AC88" s="208"/>
      <c r="AD88" s="208"/>
      <c r="AE88" s="208"/>
      <c r="AF88" s="208"/>
    </row>
    <row r="89" spans="1:32" ht="12.75">
      <c r="A89" s="337" t="s">
        <v>461</v>
      </c>
      <c r="B89" s="208"/>
      <c r="C89" s="208"/>
      <c r="D89" s="208"/>
      <c r="E89" s="208"/>
      <c r="F89" s="208"/>
      <c r="G89" s="208"/>
      <c r="H89" s="208"/>
      <c r="I89" s="208"/>
      <c r="J89" s="208"/>
      <c r="K89" s="208"/>
      <c r="L89" s="208"/>
      <c r="M89" s="208"/>
      <c r="N89" s="208"/>
      <c r="O89" s="208"/>
      <c r="P89" s="41"/>
      <c r="Q89" s="208"/>
      <c r="R89" s="208"/>
      <c r="S89" s="208"/>
      <c r="T89" s="208"/>
      <c r="U89" s="208"/>
      <c r="V89" s="208"/>
      <c r="W89" s="208"/>
      <c r="X89" s="208"/>
      <c r="Y89" s="208"/>
      <c r="Z89" s="208"/>
      <c r="AA89" s="208"/>
      <c r="AB89" s="403"/>
      <c r="AC89" s="208"/>
      <c r="AD89" s="208"/>
      <c r="AE89" s="208"/>
      <c r="AF89" s="208"/>
    </row>
    <row r="90" spans="1:34" ht="12.75">
      <c r="A90" s="233" t="s">
        <v>87</v>
      </c>
      <c r="B90" s="208">
        <v>0.058353379488455114</v>
      </c>
      <c r="C90" s="208"/>
      <c r="D90" s="208">
        <v>12.280701754385959</v>
      </c>
      <c r="E90" s="208"/>
      <c r="F90" s="208">
        <v>0.05118717498987291</v>
      </c>
      <c r="G90" s="208"/>
      <c r="H90" s="208">
        <v>6</v>
      </c>
      <c r="I90" s="208"/>
      <c r="J90" s="208">
        <v>0.048115944490480546</v>
      </c>
      <c r="K90" s="208"/>
      <c r="L90" s="208">
        <v>0</v>
      </c>
      <c r="M90" s="208"/>
      <c r="N90" s="208">
        <v>30</v>
      </c>
      <c r="O90" s="208"/>
      <c r="P90" s="41">
        <f>0.01*42.280701754386</f>
        <v>0.42280701754386</v>
      </c>
      <c r="Q90" s="208"/>
      <c r="R90" s="208">
        <v>0.03368116114333638</v>
      </c>
      <c r="S90" s="208"/>
      <c r="T90" s="208"/>
      <c r="U90" s="208"/>
      <c r="V90" s="208">
        <v>0.001476434461077759</v>
      </c>
      <c r="W90" s="208"/>
      <c r="X90" s="208">
        <v>0.041856178754323924</v>
      </c>
      <c r="Y90" s="208"/>
      <c r="Z90" s="208">
        <v>73.5</v>
      </c>
      <c r="AA90" s="208"/>
      <c r="AB90" s="403">
        <v>139.5</v>
      </c>
      <c r="AC90" s="208"/>
      <c r="AD90" s="208">
        <v>0.022053255472708304</v>
      </c>
      <c r="AE90" s="208"/>
      <c r="AF90" s="208">
        <v>0.00030004429214569117</v>
      </c>
      <c r="AH90" s="129">
        <f>B90/AF90</f>
        <v>194.48255146317106</v>
      </c>
    </row>
    <row r="91" spans="1:32" ht="12.75">
      <c r="A91" s="233"/>
      <c r="B91" s="208"/>
      <c r="C91" s="208"/>
      <c r="D91" s="208"/>
      <c r="E91" s="208"/>
      <c r="F91" s="208"/>
      <c r="G91" s="208"/>
      <c r="H91" s="208"/>
      <c r="I91" s="208"/>
      <c r="J91" s="208"/>
      <c r="K91" s="208"/>
      <c r="L91" s="208"/>
      <c r="M91" s="208"/>
      <c r="N91" s="208"/>
      <c r="O91" s="208"/>
      <c r="P91" s="41"/>
      <c r="Q91" s="208"/>
      <c r="R91" s="208"/>
      <c r="S91" s="208"/>
      <c r="T91" s="208"/>
      <c r="U91" s="208"/>
      <c r="V91" s="208"/>
      <c r="W91" s="208"/>
      <c r="X91" s="208"/>
      <c r="Y91" s="208"/>
      <c r="Z91" s="208"/>
      <c r="AA91" s="208"/>
      <c r="AB91" s="403"/>
      <c r="AC91" s="208"/>
      <c r="AD91" s="208"/>
      <c r="AE91" s="208"/>
      <c r="AF91" s="208"/>
    </row>
    <row r="92" spans="1:32" ht="12.75">
      <c r="A92" s="337" t="s">
        <v>462</v>
      </c>
      <c r="B92" s="208"/>
      <c r="C92" s="208"/>
      <c r="D92" s="208"/>
      <c r="E92" s="208"/>
      <c r="F92" s="208"/>
      <c r="G92" s="208"/>
      <c r="H92" s="208"/>
      <c r="I92" s="208"/>
      <c r="J92" s="208"/>
      <c r="K92" s="208"/>
      <c r="L92" s="208"/>
      <c r="M92" s="208"/>
      <c r="N92" s="208"/>
      <c r="O92" s="208"/>
      <c r="P92" s="41"/>
      <c r="Q92" s="208"/>
      <c r="R92" s="208"/>
      <c r="S92" s="208"/>
      <c r="T92" s="208"/>
      <c r="U92" s="208"/>
      <c r="V92" s="208"/>
      <c r="W92" s="208"/>
      <c r="X92" s="208"/>
      <c r="Y92" s="208"/>
      <c r="Z92" s="208"/>
      <c r="AA92" s="208"/>
      <c r="AB92" s="403"/>
      <c r="AC92" s="208"/>
      <c r="AD92" s="208"/>
      <c r="AE92" s="208"/>
      <c r="AF92" s="208"/>
    </row>
    <row r="93" spans="1:34" ht="12.75">
      <c r="A93" s="233" t="s">
        <v>85</v>
      </c>
      <c r="B93" s="208">
        <v>1.6981286356019467</v>
      </c>
      <c r="C93" s="208"/>
      <c r="D93" s="208">
        <v>8</v>
      </c>
      <c r="E93" s="208"/>
      <c r="F93" s="208">
        <v>1.5622783447537905</v>
      </c>
      <c r="G93" s="208"/>
      <c r="H93" s="208">
        <v>22.76092400035521</v>
      </c>
      <c r="I93" s="208"/>
      <c r="J93" s="208">
        <v>1.2066893580303728</v>
      </c>
      <c r="K93" s="208"/>
      <c r="L93" s="208">
        <v>54</v>
      </c>
      <c r="M93" s="208"/>
      <c r="N93" s="208">
        <v>43</v>
      </c>
      <c r="O93" s="208"/>
      <c r="P93" s="41">
        <f>0.01*97.8682015024098</f>
        <v>0.978682015024098</v>
      </c>
      <c r="Q93" s="208"/>
      <c r="R93" s="208">
        <v>0.03620068074091125</v>
      </c>
      <c r="S93" s="208"/>
      <c r="T93" s="208"/>
      <c r="U93" s="208"/>
      <c r="V93" s="208">
        <v>0.0015868791557659728</v>
      </c>
      <c r="W93" s="208"/>
      <c r="X93" s="208">
        <v>0.044987230626387445</v>
      </c>
      <c r="Y93" s="208"/>
      <c r="Z93" s="208">
        <v>62.5</v>
      </c>
      <c r="AA93" s="208"/>
      <c r="AB93" s="403">
        <v>173.5</v>
      </c>
      <c r="AC93" s="208"/>
      <c r="AD93" s="208">
        <v>0.016205774721321124</v>
      </c>
      <c r="AE93" s="208"/>
      <c r="AF93" s="208">
        <v>0.000259292395541138</v>
      </c>
      <c r="AH93" s="129">
        <f>B93/AF93</f>
        <v>6549.0876894325675</v>
      </c>
    </row>
    <row r="94" spans="1:32" ht="12.75">
      <c r="A94" s="233"/>
      <c r="B94" s="208"/>
      <c r="C94" s="208"/>
      <c r="D94" s="208"/>
      <c r="E94" s="208"/>
      <c r="F94" s="208"/>
      <c r="G94" s="208"/>
      <c r="H94" s="208"/>
      <c r="I94" s="208"/>
      <c r="J94" s="208"/>
      <c r="K94" s="208"/>
      <c r="L94" s="208"/>
      <c r="M94" s="208"/>
      <c r="N94" s="208"/>
      <c r="O94" s="208"/>
      <c r="P94" s="41"/>
      <c r="Q94" s="208"/>
      <c r="R94" s="208"/>
      <c r="S94" s="208"/>
      <c r="T94" s="208"/>
      <c r="U94" s="208"/>
      <c r="V94" s="208"/>
      <c r="W94" s="208"/>
      <c r="X94" s="208"/>
      <c r="Y94" s="208"/>
      <c r="Z94" s="208"/>
      <c r="AA94" s="208"/>
      <c r="AB94" s="403"/>
      <c r="AC94" s="208"/>
      <c r="AD94" s="208"/>
      <c r="AE94" s="208"/>
      <c r="AF94" s="208"/>
    </row>
    <row r="95" spans="1:32" ht="12.75">
      <c r="A95" s="337" t="s">
        <v>105</v>
      </c>
      <c r="B95" s="208"/>
      <c r="C95" s="208"/>
      <c r="D95" s="208"/>
      <c r="E95" s="208"/>
      <c r="F95" s="208"/>
      <c r="G95" s="208"/>
      <c r="H95" s="208"/>
      <c r="I95" s="208"/>
      <c r="J95" s="208"/>
      <c r="K95" s="208"/>
      <c r="L95" s="208"/>
      <c r="M95" s="208"/>
      <c r="N95" s="208"/>
      <c r="O95" s="208"/>
      <c r="P95" s="41"/>
      <c r="Q95" s="208"/>
      <c r="R95" s="208"/>
      <c r="S95" s="208"/>
      <c r="T95" s="208"/>
      <c r="U95" s="208"/>
      <c r="V95" s="208"/>
      <c r="W95" s="208"/>
      <c r="X95" s="208"/>
      <c r="Y95" s="208"/>
      <c r="Z95" s="208"/>
      <c r="AA95" s="208"/>
      <c r="AB95" s="403"/>
      <c r="AC95" s="208"/>
      <c r="AD95" s="208"/>
      <c r="AE95" s="208"/>
      <c r="AF95" s="208"/>
    </row>
    <row r="96" spans="1:32" ht="12.75">
      <c r="A96" s="233" t="s">
        <v>87</v>
      </c>
      <c r="B96" s="208">
        <v>0.21052285938237514</v>
      </c>
      <c r="C96" s="208"/>
      <c r="D96" s="208">
        <v>8</v>
      </c>
      <c r="E96" s="208"/>
      <c r="F96" s="208">
        <v>0.19368103063178516</v>
      </c>
      <c r="G96" s="208"/>
      <c r="H96" s="208">
        <v>9.753979637346216</v>
      </c>
      <c r="I96" s="208"/>
      <c r="J96" s="208">
        <v>0.17478942234255856</v>
      </c>
      <c r="K96" s="208"/>
      <c r="L96" s="208">
        <v>4</v>
      </c>
      <c r="M96" s="208"/>
      <c r="N96" s="208">
        <v>20</v>
      </c>
      <c r="O96" s="208"/>
      <c r="P96" s="41">
        <f>0.01*36.8999825624325</f>
        <v>0.368999825624325</v>
      </c>
      <c r="Q96" s="208"/>
      <c r="R96" s="208">
        <v>0.1328399609803445</v>
      </c>
      <c r="S96" s="208"/>
      <c r="T96" s="208"/>
      <c r="U96" s="208"/>
      <c r="V96" s="208">
        <v>0.00582312157722058</v>
      </c>
      <c r="W96" s="208"/>
      <c r="X96" s="208">
        <v>0.16508258515341484</v>
      </c>
      <c r="Y96" s="208"/>
      <c r="Z96" s="208">
        <v>64</v>
      </c>
      <c r="AA96" s="208"/>
      <c r="AB96" s="403">
        <v>123</v>
      </c>
      <c r="AC96" s="208"/>
      <c r="AD96" s="208">
        <v>0.08589662967332154</v>
      </c>
      <c r="AE96" s="208"/>
      <c r="AF96" s="208">
        <v>0.001342134838645649</v>
      </c>
    </row>
    <row r="97" spans="1:32" ht="12.75">
      <c r="A97" s="233" t="s">
        <v>85</v>
      </c>
      <c r="B97" s="208">
        <v>0.45534300810047873</v>
      </c>
      <c r="C97" s="208"/>
      <c r="D97" s="208">
        <v>4.761904761904767</v>
      </c>
      <c r="E97" s="208"/>
      <c r="F97" s="208">
        <v>0.4336600077147417</v>
      </c>
      <c r="G97" s="208"/>
      <c r="H97" s="208">
        <v>6</v>
      </c>
      <c r="I97" s="208"/>
      <c r="J97" s="208">
        <v>0.4076404072518572</v>
      </c>
      <c r="K97" s="208"/>
      <c r="L97" s="208">
        <v>0</v>
      </c>
      <c r="M97" s="208"/>
      <c r="N97" s="208">
        <v>24</v>
      </c>
      <c r="O97" s="208"/>
      <c r="P97" s="41">
        <f>0.01*31.9619047619048</f>
        <v>0.319619047619048</v>
      </c>
      <c r="Q97" s="208"/>
      <c r="R97" s="208">
        <v>0.3098067095114115</v>
      </c>
      <c r="S97" s="208"/>
      <c r="T97" s="208"/>
      <c r="U97" s="208"/>
      <c r="V97" s="208">
        <v>0.013580568088171463</v>
      </c>
      <c r="W97" s="208"/>
      <c r="X97" s="208">
        <v>0.3850023150156168</v>
      </c>
      <c r="Y97" s="208"/>
      <c r="Z97" s="208">
        <v>97</v>
      </c>
      <c r="AA97" s="208"/>
      <c r="AB97" s="403">
        <v>151</v>
      </c>
      <c r="AC97" s="208"/>
      <c r="AD97" s="208">
        <v>0.2473193679239393</v>
      </c>
      <c r="AE97" s="208"/>
      <c r="AF97" s="208">
        <v>0.0025496842054014363</v>
      </c>
    </row>
    <row r="98" spans="1:34" ht="12.75">
      <c r="A98" s="338" t="s">
        <v>63</v>
      </c>
      <c r="B98" s="309">
        <f>SUM(B96:B97)</f>
        <v>0.6658658674828539</v>
      </c>
      <c r="C98" s="309"/>
      <c r="D98" s="309"/>
      <c r="E98" s="309"/>
      <c r="F98" s="309"/>
      <c r="G98" s="309"/>
      <c r="H98" s="309"/>
      <c r="I98" s="309"/>
      <c r="J98" s="309"/>
      <c r="K98" s="309"/>
      <c r="L98" s="309"/>
      <c r="M98" s="309"/>
      <c r="N98" s="309"/>
      <c r="O98" s="309"/>
      <c r="P98" s="310">
        <f>1-(R98/B98)</f>
        <v>0.3352314751241485</v>
      </c>
      <c r="Q98" s="309"/>
      <c r="R98" s="309">
        <f aca="true" t="shared" si="8" ref="R98:AF98">SUM(R96:R97)</f>
        <v>0.442646670491756</v>
      </c>
      <c r="S98" s="309">
        <f t="shared" si="8"/>
        <v>0</v>
      </c>
      <c r="T98" s="309">
        <f t="shared" si="8"/>
        <v>0</v>
      </c>
      <c r="U98" s="309">
        <f t="shared" si="8"/>
        <v>0</v>
      </c>
      <c r="V98" s="309">
        <f t="shared" si="8"/>
        <v>0.019403689665392042</v>
      </c>
      <c r="W98" s="309">
        <f t="shared" si="8"/>
        <v>0</v>
      </c>
      <c r="X98" s="309">
        <f t="shared" si="8"/>
        <v>0.5500849001690317</v>
      </c>
      <c r="Y98" s="309">
        <f t="shared" si="8"/>
        <v>0</v>
      </c>
      <c r="Z98" s="309">
        <f t="shared" si="8"/>
        <v>161</v>
      </c>
      <c r="AA98" s="309">
        <f t="shared" si="8"/>
        <v>0</v>
      </c>
      <c r="AB98" s="400">
        <f t="shared" si="8"/>
        <v>274</v>
      </c>
      <c r="AC98" s="309">
        <f t="shared" si="8"/>
        <v>0</v>
      </c>
      <c r="AD98" s="309">
        <f t="shared" si="8"/>
        <v>0.33321599759726084</v>
      </c>
      <c r="AE98" s="309">
        <f t="shared" si="8"/>
        <v>0</v>
      </c>
      <c r="AF98" s="309">
        <f t="shared" si="8"/>
        <v>0.0038918190440470853</v>
      </c>
      <c r="AH98" s="335">
        <f>B98/AF98</f>
        <v>171.09373790165304</v>
      </c>
    </row>
    <row r="99" spans="1:32" ht="12.75">
      <c r="A99" s="241"/>
      <c r="B99" s="208"/>
      <c r="C99" s="208"/>
      <c r="D99" s="208"/>
      <c r="E99" s="208"/>
      <c r="F99" s="208"/>
      <c r="G99" s="208"/>
      <c r="H99" s="208"/>
      <c r="I99" s="208"/>
      <c r="J99" s="208"/>
      <c r="K99" s="208"/>
      <c r="L99" s="208"/>
      <c r="M99" s="208"/>
      <c r="N99" s="208"/>
      <c r="O99" s="208"/>
      <c r="P99" s="41"/>
      <c r="Q99" s="208"/>
      <c r="R99" s="208"/>
      <c r="S99" s="208"/>
      <c r="T99" s="208"/>
      <c r="U99" s="208"/>
      <c r="V99" s="208"/>
      <c r="W99" s="208"/>
      <c r="X99" s="208"/>
      <c r="Y99" s="208"/>
      <c r="Z99" s="208"/>
      <c r="AA99" s="208"/>
      <c r="AB99" s="403"/>
      <c r="AC99" s="208"/>
      <c r="AD99" s="208"/>
      <c r="AE99" s="208"/>
      <c r="AF99" s="208"/>
    </row>
    <row r="100" spans="1:32" ht="12.75">
      <c r="A100" s="14"/>
      <c r="B100" s="208"/>
      <c r="C100" s="208"/>
      <c r="D100" s="208"/>
      <c r="E100" s="208"/>
      <c r="F100" s="208"/>
      <c r="G100" s="208"/>
      <c r="H100" s="208"/>
      <c r="I100" s="208"/>
      <c r="J100" s="208"/>
      <c r="K100" s="208"/>
      <c r="L100" s="208"/>
      <c r="M100" s="208"/>
      <c r="N100" s="208"/>
      <c r="O100" s="208"/>
      <c r="P100" s="41"/>
      <c r="Q100" s="208"/>
      <c r="R100" s="208"/>
      <c r="S100" s="208"/>
      <c r="T100" s="208"/>
      <c r="U100" s="208"/>
      <c r="V100" s="208"/>
      <c r="W100" s="208"/>
      <c r="X100" s="208"/>
      <c r="Y100" s="208"/>
      <c r="Z100" s="208"/>
      <c r="AA100" s="208"/>
      <c r="AB100" s="403"/>
      <c r="AC100" s="208"/>
      <c r="AD100" s="208"/>
      <c r="AE100" s="208"/>
      <c r="AF100" s="208"/>
    </row>
    <row r="101" spans="1:32" ht="12.75">
      <c r="A101" s="8" t="s">
        <v>418</v>
      </c>
      <c r="B101" s="208"/>
      <c r="C101" s="208"/>
      <c r="D101" s="208"/>
      <c r="E101" s="208"/>
      <c r="F101" s="208"/>
      <c r="G101" s="208"/>
      <c r="H101" s="208"/>
      <c r="I101" s="208"/>
      <c r="J101" s="208"/>
      <c r="K101" s="208"/>
      <c r="L101" s="208"/>
      <c r="M101" s="208"/>
      <c r="N101" s="208"/>
      <c r="O101" s="208"/>
      <c r="P101" s="41"/>
      <c r="Q101" s="208"/>
      <c r="R101" s="208"/>
      <c r="S101" s="208"/>
      <c r="T101" s="208"/>
      <c r="U101" s="208"/>
      <c r="V101" s="208"/>
      <c r="W101" s="208"/>
      <c r="X101" s="208"/>
      <c r="Y101" s="208"/>
      <c r="Z101" s="208"/>
      <c r="AA101" s="208"/>
      <c r="AB101" s="403"/>
      <c r="AC101" s="208"/>
      <c r="AD101" s="208"/>
      <c r="AE101" s="208"/>
      <c r="AF101" s="208"/>
    </row>
    <row r="102" spans="1:32" ht="12.75">
      <c r="A102" s="14" t="s">
        <v>85</v>
      </c>
      <c r="B102" s="208">
        <v>9.276666051914415</v>
      </c>
      <c r="C102" s="208"/>
      <c r="D102" s="208">
        <v>3</v>
      </c>
      <c r="E102" s="208"/>
      <c r="F102" s="208">
        <v>8.998366070356983</v>
      </c>
      <c r="G102" s="208"/>
      <c r="H102" s="208">
        <v>11.569651802974827</v>
      </c>
      <c r="I102" s="208"/>
      <c r="J102" s="208">
        <v>7.957286448059652</v>
      </c>
      <c r="K102" s="208"/>
      <c r="L102" s="208">
        <v>27</v>
      </c>
      <c r="M102" s="208"/>
      <c r="N102" s="208">
        <v>36</v>
      </c>
      <c r="O102" s="208"/>
      <c r="P102" s="41">
        <f>0.01*68.2623480320877</f>
        <v>0.682623480320877</v>
      </c>
      <c r="Q102" s="208"/>
      <c r="R102" s="208">
        <v>2.944195985782071</v>
      </c>
      <c r="S102" s="208"/>
      <c r="T102" s="208"/>
      <c r="U102" s="208"/>
      <c r="V102" s="208">
        <v>0.1290606459520908</v>
      </c>
      <c r="W102" s="208"/>
      <c r="X102" s="208">
        <v>3.658804782418798</v>
      </c>
      <c r="Y102" s="208"/>
      <c r="Z102" s="208">
        <v>88</v>
      </c>
      <c r="AA102" s="208"/>
      <c r="AB102" s="403">
        <v>188</v>
      </c>
      <c r="AC102" s="208"/>
      <c r="AD102" s="208">
        <v>1.712632025813054</v>
      </c>
      <c r="AE102" s="208"/>
      <c r="AF102" s="208">
        <v>0.019461727566057435</v>
      </c>
    </row>
    <row r="103" spans="1:32" ht="12.75">
      <c r="A103" s="14" t="s">
        <v>103</v>
      </c>
      <c r="B103" s="208">
        <v>56.996628244499504</v>
      </c>
      <c r="C103" s="208"/>
      <c r="D103" s="208">
        <v>35.4479055826456</v>
      </c>
      <c r="E103" s="208"/>
      <c r="F103" s="208">
        <v>36.77153684171021</v>
      </c>
      <c r="G103" s="208"/>
      <c r="H103" s="208">
        <v>6</v>
      </c>
      <c r="I103" s="208"/>
      <c r="J103" s="208">
        <v>34.56524463120759</v>
      </c>
      <c r="K103" s="208"/>
      <c r="L103" s="208">
        <v>0</v>
      </c>
      <c r="M103" s="208"/>
      <c r="N103" s="208">
        <v>10</v>
      </c>
      <c r="O103" s="208"/>
      <c r="P103" s="41">
        <f>0.01*45.3889281229182</f>
        <v>0.45388928122918204</v>
      </c>
      <c r="Q103" s="208"/>
      <c r="R103" s="208">
        <v>31.108720168086837</v>
      </c>
      <c r="S103" s="208"/>
      <c r="T103" s="208">
        <v>3.5757149618490613</v>
      </c>
      <c r="U103" s="208"/>
      <c r="V103" s="208">
        <v>1.3636699251764093</v>
      </c>
      <c r="W103" s="208"/>
      <c r="X103" s="208">
        <v>38.65936054378861</v>
      </c>
      <c r="Y103" s="208"/>
      <c r="Z103" s="208">
        <v>117</v>
      </c>
      <c r="AA103" s="208"/>
      <c r="AB103" s="403">
        <v>249</v>
      </c>
      <c r="AC103" s="208"/>
      <c r="AD103" s="208">
        <v>18.165241701298264</v>
      </c>
      <c r="AE103" s="208"/>
      <c r="AF103" s="208">
        <v>0.15525847607947232</v>
      </c>
    </row>
    <row r="104" spans="1:34" ht="12.75">
      <c r="A104" s="112" t="s">
        <v>63</v>
      </c>
      <c r="B104" s="309">
        <f>SUM(B102:B103)</f>
        <v>66.27329429641392</v>
      </c>
      <c r="C104" s="309"/>
      <c r="D104" s="309"/>
      <c r="E104" s="309"/>
      <c r="F104" s="309"/>
      <c r="G104" s="309"/>
      <c r="H104" s="309"/>
      <c r="I104" s="309"/>
      <c r="J104" s="309"/>
      <c r="K104" s="309"/>
      <c r="L104" s="309"/>
      <c r="M104" s="309"/>
      <c r="N104" s="309"/>
      <c r="O104" s="309"/>
      <c r="P104" s="310">
        <f>1-(R104/B104)</f>
        <v>0.4861743856950306</v>
      </c>
      <c r="Q104" s="309"/>
      <c r="R104" s="309">
        <f aca="true" t="shared" si="9" ref="R104:AF104">SUM(R102:R103)</f>
        <v>34.05291615386891</v>
      </c>
      <c r="S104" s="309">
        <f t="shared" si="9"/>
        <v>0</v>
      </c>
      <c r="T104" s="309">
        <f t="shared" si="9"/>
        <v>3.5757149618490613</v>
      </c>
      <c r="U104" s="309">
        <f t="shared" si="9"/>
        <v>0</v>
      </c>
      <c r="V104" s="309">
        <f t="shared" si="9"/>
        <v>1.4927305711285002</v>
      </c>
      <c r="W104" s="309">
        <f t="shared" si="9"/>
        <v>0</v>
      </c>
      <c r="X104" s="309">
        <f t="shared" si="9"/>
        <v>42.31816532620741</v>
      </c>
      <c r="Y104" s="309">
        <f t="shared" si="9"/>
        <v>0</v>
      </c>
      <c r="Z104" s="309">
        <f t="shared" si="9"/>
        <v>205</v>
      </c>
      <c r="AA104" s="309">
        <f t="shared" si="9"/>
        <v>0</v>
      </c>
      <c r="AB104" s="400">
        <f t="shared" si="9"/>
        <v>437</v>
      </c>
      <c r="AC104" s="309">
        <f t="shared" si="9"/>
        <v>0</v>
      </c>
      <c r="AD104" s="309">
        <f t="shared" si="9"/>
        <v>19.877873727111318</v>
      </c>
      <c r="AE104" s="309">
        <f t="shared" si="9"/>
        <v>0</v>
      </c>
      <c r="AF104" s="309">
        <f t="shared" si="9"/>
        <v>0.17472020364552976</v>
      </c>
      <c r="AH104" s="335">
        <f>B104/AF104</f>
        <v>379.3109950287626</v>
      </c>
    </row>
    <row r="105" spans="1:32" ht="12.75">
      <c r="A105" s="14"/>
      <c r="B105" s="208"/>
      <c r="C105" s="208"/>
      <c r="D105" s="208"/>
      <c r="E105" s="208"/>
      <c r="F105" s="208"/>
      <c r="G105" s="208"/>
      <c r="H105" s="208"/>
      <c r="I105" s="208"/>
      <c r="J105" s="208"/>
      <c r="K105" s="208"/>
      <c r="L105" s="208"/>
      <c r="M105" s="208"/>
      <c r="N105" s="208"/>
      <c r="O105" s="208"/>
      <c r="P105" s="41"/>
      <c r="Q105" s="208"/>
      <c r="R105" s="208"/>
      <c r="S105" s="208"/>
      <c r="T105" s="208"/>
      <c r="U105" s="208"/>
      <c r="V105" s="208"/>
      <c r="W105" s="208"/>
      <c r="X105" s="208"/>
      <c r="Y105" s="208"/>
      <c r="Z105" s="208"/>
      <c r="AA105" s="208"/>
      <c r="AB105" s="403"/>
      <c r="AC105" s="208"/>
      <c r="AD105" s="208"/>
      <c r="AE105" s="208"/>
      <c r="AF105" s="208"/>
    </row>
    <row r="106" spans="1:32" ht="12.75">
      <c r="A106" s="8" t="s">
        <v>410</v>
      </c>
      <c r="B106" s="208"/>
      <c r="C106" s="208"/>
      <c r="D106" s="208"/>
      <c r="E106" s="208"/>
      <c r="F106" s="208"/>
      <c r="G106" s="208"/>
      <c r="H106" s="208"/>
      <c r="I106" s="208"/>
      <c r="J106" s="208"/>
      <c r="K106" s="208"/>
      <c r="L106" s="208"/>
      <c r="M106" s="208"/>
      <c r="N106" s="208"/>
      <c r="O106" s="208"/>
      <c r="P106" s="41"/>
      <c r="Q106" s="208"/>
      <c r="R106" s="208"/>
      <c r="S106" s="208"/>
      <c r="T106" s="208"/>
      <c r="U106" s="208"/>
      <c r="V106" s="208"/>
      <c r="W106" s="208"/>
      <c r="X106" s="208"/>
      <c r="Y106" s="208"/>
      <c r="Z106" s="208"/>
      <c r="AA106" s="208"/>
      <c r="AB106" s="403"/>
      <c r="AC106" s="208"/>
      <c r="AD106" s="208"/>
      <c r="AE106" s="208"/>
      <c r="AF106" s="208"/>
    </row>
    <row r="107" spans="1:34" ht="12.75">
      <c r="A107" s="14" t="s">
        <v>85</v>
      </c>
      <c r="B107" s="208">
        <v>24.74285285156528</v>
      </c>
      <c r="C107" s="208"/>
      <c r="D107" s="208">
        <v>0</v>
      </c>
      <c r="E107" s="208"/>
      <c r="F107" s="208">
        <v>24.74285285156528</v>
      </c>
      <c r="G107" s="208"/>
      <c r="H107" s="208">
        <v>7.966253243459346</v>
      </c>
      <c r="I107" s="208"/>
      <c r="J107" s="208">
        <v>22.771774533753092</v>
      </c>
      <c r="K107" s="208"/>
      <c r="L107" s="208">
        <v>36</v>
      </c>
      <c r="M107" s="208"/>
      <c r="N107" s="208">
        <v>20</v>
      </c>
      <c r="O107" s="208"/>
      <c r="P107" s="41">
        <f>0.01*59.5051514271221</f>
        <v>0.595051514271221</v>
      </c>
      <c r="Q107" s="208"/>
      <c r="R107" s="208">
        <v>10.019580794851361</v>
      </c>
      <c r="S107" s="208"/>
      <c r="T107" s="208"/>
      <c r="U107" s="208"/>
      <c r="V107" s="208">
        <v>0.43921450059622397</v>
      </c>
      <c r="W107" s="208"/>
      <c r="X107" s="208">
        <v>12.45151148465265</v>
      </c>
      <c r="Y107" s="208"/>
      <c r="Z107" s="208">
        <v>139</v>
      </c>
      <c r="AA107" s="208"/>
      <c r="AB107" s="403">
        <v>156</v>
      </c>
      <c r="AC107" s="208"/>
      <c r="AD107" s="208">
        <v>11.094616002350762</v>
      </c>
      <c r="AE107" s="208"/>
      <c r="AF107" s="208">
        <v>0.07981738131187596</v>
      </c>
      <c r="AH107" s="129">
        <f>B107/AF107</f>
        <v>309.99329275018215</v>
      </c>
    </row>
    <row r="108" spans="1:32" ht="12.75">
      <c r="A108" s="14"/>
      <c r="B108" s="208"/>
      <c r="C108" s="208"/>
      <c r="D108" s="208"/>
      <c r="E108" s="208"/>
      <c r="F108" s="208"/>
      <c r="G108" s="208"/>
      <c r="H108" s="208"/>
      <c r="I108" s="208"/>
      <c r="J108" s="208"/>
      <c r="K108" s="208"/>
      <c r="L108" s="208"/>
      <c r="M108" s="208"/>
      <c r="N108" s="208"/>
      <c r="O108" s="208"/>
      <c r="P108" s="41"/>
      <c r="Q108" s="208"/>
      <c r="R108" s="208"/>
      <c r="S108" s="208"/>
      <c r="T108" s="208"/>
      <c r="U108" s="208"/>
      <c r="V108" s="208"/>
      <c r="W108" s="208"/>
      <c r="X108" s="208"/>
      <c r="Y108" s="208"/>
      <c r="Z108" s="208"/>
      <c r="AA108" s="208"/>
      <c r="AB108" s="403"/>
      <c r="AC108" s="208"/>
      <c r="AD108" s="208"/>
      <c r="AE108" s="208"/>
      <c r="AF108" s="208"/>
    </row>
    <row r="109" spans="1:32" ht="12.75">
      <c r="A109" s="8" t="s">
        <v>415</v>
      </c>
      <c r="B109" s="208"/>
      <c r="C109" s="208"/>
      <c r="D109" s="208"/>
      <c r="E109" s="208"/>
      <c r="F109" s="208"/>
      <c r="G109" s="208"/>
      <c r="H109" s="208"/>
      <c r="I109" s="208"/>
      <c r="J109" s="208"/>
      <c r="K109" s="208"/>
      <c r="L109" s="208"/>
      <c r="M109" s="208"/>
      <c r="N109" s="208"/>
      <c r="O109" s="208"/>
      <c r="P109" s="41"/>
      <c r="Q109" s="208"/>
      <c r="R109" s="208"/>
      <c r="S109" s="208"/>
      <c r="T109" s="208"/>
      <c r="U109" s="208"/>
      <c r="V109" s="208"/>
      <c r="W109" s="208"/>
      <c r="X109" s="208"/>
      <c r="Y109" s="208"/>
      <c r="Z109" s="208"/>
      <c r="AA109" s="208"/>
      <c r="AB109" s="403"/>
      <c r="AC109" s="208"/>
      <c r="AD109" s="208"/>
      <c r="AE109" s="208"/>
      <c r="AF109" s="208"/>
    </row>
    <row r="110" spans="1:32" ht="12.75">
      <c r="A110" s="14" t="s">
        <v>85</v>
      </c>
      <c r="B110" s="208">
        <v>5.215560112822481</v>
      </c>
      <c r="C110" s="208"/>
      <c r="D110" s="208">
        <v>5</v>
      </c>
      <c r="E110" s="208"/>
      <c r="F110" s="208">
        <v>4.954782107181357</v>
      </c>
      <c r="G110" s="208"/>
      <c r="H110" s="208">
        <v>14.629115889840037</v>
      </c>
      <c r="I110" s="208"/>
      <c r="J110" s="208">
        <v>4.2299412906327385</v>
      </c>
      <c r="K110" s="208"/>
      <c r="L110" s="208">
        <v>49</v>
      </c>
      <c r="M110" s="208"/>
      <c r="N110" s="208">
        <v>37</v>
      </c>
      <c r="O110" s="208"/>
      <c r="P110" s="41">
        <f>0.01*88.6456724133487</f>
        <v>0.8864567241334871</v>
      </c>
      <c r="Q110" s="208"/>
      <c r="R110" s="208">
        <v>0.5921917806885834</v>
      </c>
      <c r="S110" s="208"/>
      <c r="T110" s="208"/>
      <c r="U110" s="208"/>
      <c r="V110" s="208">
        <v>0.02595909175621187</v>
      </c>
      <c r="W110" s="208"/>
      <c r="X110" s="208">
        <v>0.7359272717427284</v>
      </c>
      <c r="Y110" s="208"/>
      <c r="Z110" s="208">
        <v>82</v>
      </c>
      <c r="AA110" s="208"/>
      <c r="AB110" s="403">
        <v>165</v>
      </c>
      <c r="AC110" s="208"/>
      <c r="AD110" s="208">
        <v>0.36573355322971957</v>
      </c>
      <c r="AE110" s="208"/>
      <c r="AF110" s="208">
        <v>0.004460165283289264</v>
      </c>
    </row>
    <row r="111" spans="1:32" ht="12.75">
      <c r="A111" s="14" t="s">
        <v>86</v>
      </c>
      <c r="B111" s="208">
        <v>4.297004329456838</v>
      </c>
      <c r="C111" s="208"/>
      <c r="D111" s="208">
        <v>41.48624926857812</v>
      </c>
      <c r="E111" s="208"/>
      <c r="F111" s="208">
        <v>2.5143384022567803</v>
      </c>
      <c r="G111" s="208"/>
      <c r="H111" s="208">
        <v>6</v>
      </c>
      <c r="I111" s="208"/>
      <c r="J111" s="208">
        <v>2.3634780981213734</v>
      </c>
      <c r="K111" s="208"/>
      <c r="L111" s="208">
        <v>0</v>
      </c>
      <c r="M111" s="208"/>
      <c r="N111" s="208">
        <v>9</v>
      </c>
      <c r="O111" s="208"/>
      <c r="P111" s="41">
        <f>0.01*49.9473376243417</f>
        <v>0.499473376243417</v>
      </c>
      <c r="Q111" s="208"/>
      <c r="R111" s="208">
        <v>2.1507650692904496</v>
      </c>
      <c r="S111" s="208"/>
      <c r="T111" s="208"/>
      <c r="U111" s="208"/>
      <c r="V111" s="208">
        <v>0.09428011262643068</v>
      </c>
      <c r="W111" s="208"/>
      <c r="X111" s="208">
        <v>2.6727940529029963</v>
      </c>
      <c r="Y111" s="208"/>
      <c r="Z111" s="208">
        <v>79</v>
      </c>
      <c r="AA111" s="208"/>
      <c r="AB111" s="403">
        <v>246</v>
      </c>
      <c r="AC111" s="208"/>
      <c r="AD111" s="208">
        <v>0.8583363015420191</v>
      </c>
      <c r="AE111" s="208"/>
      <c r="AF111" s="208">
        <v>0.010865016475215435</v>
      </c>
    </row>
    <row r="112" spans="1:32" ht="12.75">
      <c r="A112" s="14" t="s">
        <v>103</v>
      </c>
      <c r="B112" s="208">
        <v>3.703414644858474</v>
      </c>
      <c r="C112" s="208"/>
      <c r="D112" s="208">
        <v>41.33333333333332</v>
      </c>
      <c r="E112" s="208"/>
      <c r="F112" s="208">
        <v>2.1726699249836385</v>
      </c>
      <c r="G112" s="208"/>
      <c r="H112" s="208">
        <v>6</v>
      </c>
      <c r="I112" s="208"/>
      <c r="J112" s="208">
        <v>2.04230972948462</v>
      </c>
      <c r="K112" s="208"/>
      <c r="L112" s="208">
        <v>0</v>
      </c>
      <c r="M112" s="208"/>
      <c r="N112" s="208">
        <v>10</v>
      </c>
      <c r="O112" s="208"/>
      <c r="P112" s="41">
        <f>0.01*50.368</f>
        <v>0.50368</v>
      </c>
      <c r="Q112" s="208"/>
      <c r="R112" s="208">
        <v>1.838078756536158</v>
      </c>
      <c r="S112" s="208"/>
      <c r="T112" s="208">
        <v>0.20887258597001793</v>
      </c>
      <c r="U112" s="208"/>
      <c r="V112" s="208">
        <v>0.08057331535500967</v>
      </c>
      <c r="W112" s="208"/>
      <c r="X112" s="208">
        <v>2.2842132036568463</v>
      </c>
      <c r="Y112" s="208"/>
      <c r="Z112" s="208">
        <v>132</v>
      </c>
      <c r="AA112" s="208"/>
      <c r="AB112" s="403">
        <v>250</v>
      </c>
      <c r="AC112" s="208"/>
      <c r="AD112" s="208">
        <v>1.206064571530815</v>
      </c>
      <c r="AE112" s="208"/>
      <c r="AF112" s="208">
        <v>0.009136852814627386</v>
      </c>
    </row>
    <row r="113" spans="1:34" ht="12.75">
      <c r="A113" s="112" t="s">
        <v>63</v>
      </c>
      <c r="B113" s="309">
        <f>SUM(B110:B112)</f>
        <v>13.215979087137795</v>
      </c>
      <c r="C113" s="309"/>
      <c r="D113" s="309"/>
      <c r="E113" s="309"/>
      <c r="F113" s="309"/>
      <c r="G113" s="309"/>
      <c r="H113" s="309"/>
      <c r="I113" s="309"/>
      <c r="J113" s="309"/>
      <c r="K113" s="309"/>
      <c r="L113" s="309"/>
      <c r="M113" s="309"/>
      <c r="N113" s="309"/>
      <c r="O113" s="309"/>
      <c r="P113" s="310">
        <f>1-(R113/B113)</f>
        <v>0.6533714546375456</v>
      </c>
      <c r="Q113" s="309"/>
      <c r="R113" s="309">
        <f aca="true" t="shared" si="10" ref="R113:AF113">SUM(R110:R112)</f>
        <v>4.581035606515191</v>
      </c>
      <c r="S113" s="309">
        <f t="shared" si="10"/>
        <v>0</v>
      </c>
      <c r="T113" s="309">
        <f t="shared" si="10"/>
        <v>0.20887258597001793</v>
      </c>
      <c r="U113" s="309">
        <f t="shared" si="10"/>
        <v>0</v>
      </c>
      <c r="V113" s="309">
        <f t="shared" si="10"/>
        <v>0.20081251973765224</v>
      </c>
      <c r="W113" s="309">
        <f t="shared" si="10"/>
        <v>0</v>
      </c>
      <c r="X113" s="309">
        <f t="shared" si="10"/>
        <v>5.692934528302571</v>
      </c>
      <c r="Y113" s="309">
        <f t="shared" si="10"/>
        <v>0</v>
      </c>
      <c r="Z113" s="309">
        <f t="shared" si="10"/>
        <v>293</v>
      </c>
      <c r="AA113" s="309">
        <f t="shared" si="10"/>
        <v>0</v>
      </c>
      <c r="AB113" s="400">
        <f t="shared" si="10"/>
        <v>661</v>
      </c>
      <c r="AC113" s="309">
        <f t="shared" si="10"/>
        <v>0</v>
      </c>
      <c r="AD113" s="309">
        <f t="shared" si="10"/>
        <v>2.430134426302554</v>
      </c>
      <c r="AE113" s="309">
        <f t="shared" si="10"/>
        <v>0</v>
      </c>
      <c r="AF113" s="309">
        <f t="shared" si="10"/>
        <v>0.024462034573132084</v>
      </c>
      <c r="AH113" s="335">
        <f>B113/AF113</f>
        <v>540.2649173611089</v>
      </c>
    </row>
    <row r="114" spans="1:32" ht="12.75">
      <c r="A114" s="14"/>
      <c r="B114" s="208"/>
      <c r="C114" s="208"/>
      <c r="D114" s="208"/>
      <c r="E114" s="208"/>
      <c r="F114" s="208"/>
      <c r="G114" s="208"/>
      <c r="H114" s="208"/>
      <c r="I114" s="208"/>
      <c r="J114" s="208"/>
      <c r="K114" s="208"/>
      <c r="L114" s="208"/>
      <c r="M114" s="208"/>
      <c r="N114" s="208"/>
      <c r="O114" s="208"/>
      <c r="P114" s="41"/>
      <c r="Q114" s="208"/>
      <c r="R114" s="208"/>
      <c r="S114" s="208"/>
      <c r="T114" s="208"/>
      <c r="U114" s="208"/>
      <c r="V114" s="208"/>
      <c r="W114" s="208"/>
      <c r="X114" s="208"/>
      <c r="Y114" s="208"/>
      <c r="Z114" s="208"/>
      <c r="AA114" s="208"/>
      <c r="AB114" s="403"/>
      <c r="AC114" s="208"/>
      <c r="AD114" s="208"/>
      <c r="AE114" s="208"/>
      <c r="AF114" s="208"/>
    </row>
    <row r="115" spans="1:32" ht="12.75">
      <c r="A115" s="8" t="s">
        <v>419</v>
      </c>
      <c r="B115" s="208"/>
      <c r="C115" s="208"/>
      <c r="D115" s="208"/>
      <c r="E115" s="208"/>
      <c r="F115" s="208"/>
      <c r="G115" s="208"/>
      <c r="H115" s="208"/>
      <c r="I115" s="208"/>
      <c r="J115" s="208"/>
      <c r="K115" s="208"/>
      <c r="L115" s="208"/>
      <c r="M115" s="208"/>
      <c r="N115" s="208"/>
      <c r="O115" s="208"/>
      <c r="P115" s="41"/>
      <c r="Q115" s="208"/>
      <c r="R115" s="208"/>
      <c r="S115" s="208"/>
      <c r="T115" s="208"/>
      <c r="U115" s="208"/>
      <c r="V115" s="208"/>
      <c r="W115" s="208"/>
      <c r="X115" s="208"/>
      <c r="Y115" s="208"/>
      <c r="Z115" s="208"/>
      <c r="AA115" s="208"/>
      <c r="AB115" s="403"/>
      <c r="AC115" s="208"/>
      <c r="AD115" s="208"/>
      <c r="AE115" s="208"/>
      <c r="AF115" s="208"/>
    </row>
    <row r="116" spans="1:34" ht="12.75">
      <c r="A116" s="14" t="s">
        <v>96</v>
      </c>
      <c r="B116" s="272">
        <v>6.719687625688763</v>
      </c>
      <c r="C116" s="208"/>
      <c r="D116" s="208">
        <v>79.44912136773496</v>
      </c>
      <c r="E116" s="208"/>
      <c r="F116" s="208">
        <v>1.38095484842263</v>
      </c>
      <c r="G116" s="208"/>
      <c r="H116" s="208">
        <v>6</v>
      </c>
      <c r="I116" s="208"/>
      <c r="J116" s="208">
        <v>1.2980975575172722</v>
      </c>
      <c r="K116" s="208"/>
      <c r="L116" s="208">
        <v>0</v>
      </c>
      <c r="M116" s="208"/>
      <c r="N116" s="208">
        <v>26</v>
      </c>
      <c r="O116" s="208"/>
      <c r="P116" s="41">
        <f>0.01*85.7048088233964</f>
        <v>0.8570480882339641</v>
      </c>
      <c r="Q116" s="208"/>
      <c r="R116" s="208">
        <v>0.9605921925627815</v>
      </c>
      <c r="S116" s="208"/>
      <c r="T116" s="208"/>
      <c r="U116" s="208"/>
      <c r="V116" s="208">
        <v>0.04210815090686165</v>
      </c>
      <c r="W116" s="208"/>
      <c r="X116" s="208">
        <v>1.1937450241340741</v>
      </c>
      <c r="Y116" s="208"/>
      <c r="Z116" s="208">
        <v>271</v>
      </c>
      <c r="AA116" s="208"/>
      <c r="AB116" s="403">
        <v>72.5</v>
      </c>
      <c r="AC116" s="208"/>
      <c r="AD116" s="208">
        <v>4.462136572970126</v>
      </c>
      <c r="AE116" s="208"/>
      <c r="AF116" s="208">
        <v>0.016465448608745853</v>
      </c>
      <c r="AH116" s="129">
        <f>B116/AF116</f>
        <v>408.1083841298747</v>
      </c>
    </row>
    <row r="117" spans="1:32" ht="12.75">
      <c r="A117" s="14"/>
      <c r="B117" s="208"/>
      <c r="C117" s="208"/>
      <c r="D117" s="208"/>
      <c r="E117" s="208"/>
      <c r="F117" s="208"/>
      <c r="G117" s="208"/>
      <c r="H117" s="208"/>
      <c r="I117" s="208"/>
      <c r="J117" s="208"/>
      <c r="K117" s="208"/>
      <c r="L117" s="208"/>
      <c r="M117" s="208"/>
      <c r="N117" s="208"/>
      <c r="O117" s="208"/>
      <c r="P117" s="41"/>
      <c r="Q117" s="208"/>
      <c r="R117" s="208"/>
      <c r="S117" s="208"/>
      <c r="T117" s="208"/>
      <c r="U117" s="208"/>
      <c r="V117" s="208"/>
      <c r="W117" s="208"/>
      <c r="X117" s="208"/>
      <c r="Y117" s="208"/>
      <c r="Z117" s="208"/>
      <c r="AA117" s="208"/>
      <c r="AB117" s="403"/>
      <c r="AC117" s="208"/>
      <c r="AD117" s="208"/>
      <c r="AE117" s="208"/>
      <c r="AF117" s="208"/>
    </row>
    <row r="118" spans="1:32" ht="12.75">
      <c r="A118" s="8" t="s">
        <v>414</v>
      </c>
      <c r="B118" s="208"/>
      <c r="C118" s="208"/>
      <c r="D118" s="208"/>
      <c r="E118" s="208"/>
      <c r="F118" s="208"/>
      <c r="G118" s="208"/>
      <c r="H118" s="208"/>
      <c r="I118" s="208"/>
      <c r="J118" s="208"/>
      <c r="K118" s="208"/>
      <c r="L118" s="208"/>
      <c r="M118" s="208"/>
      <c r="N118" s="208"/>
      <c r="O118" s="208"/>
      <c r="P118" s="41"/>
      <c r="Q118" s="208"/>
      <c r="R118" s="208"/>
      <c r="S118" s="208"/>
      <c r="T118" s="208"/>
      <c r="U118" s="208"/>
      <c r="V118" s="208"/>
      <c r="W118" s="208"/>
      <c r="X118" s="208"/>
      <c r="Y118" s="208"/>
      <c r="Z118" s="208"/>
      <c r="AA118" s="208"/>
      <c r="AB118" s="403"/>
      <c r="AC118" s="208"/>
      <c r="AD118" s="208"/>
      <c r="AE118" s="208"/>
      <c r="AF118" s="208"/>
    </row>
    <row r="119" spans="1:32" ht="12.75">
      <c r="A119" s="14" t="s">
        <v>85</v>
      </c>
      <c r="B119" s="208">
        <v>2.771725755890351</v>
      </c>
      <c r="C119" s="208"/>
      <c r="D119" s="208">
        <v>3</v>
      </c>
      <c r="E119" s="208"/>
      <c r="F119" s="208">
        <v>2.6885739832136406</v>
      </c>
      <c r="G119" s="208"/>
      <c r="H119" s="208">
        <v>12.836730422519542</v>
      </c>
      <c r="I119" s="208"/>
      <c r="J119" s="208">
        <v>2.3434489887785097</v>
      </c>
      <c r="K119" s="208"/>
      <c r="L119" s="208">
        <v>50</v>
      </c>
      <c r="M119" s="208"/>
      <c r="N119" s="208">
        <v>20</v>
      </c>
      <c r="O119" s="208"/>
      <c r="P119" s="41">
        <f>0.01*74.6354885529532</f>
        <v>0.7463548855295321</v>
      </c>
      <c r="Q119" s="208"/>
      <c r="R119" s="208">
        <v>0.703034696633553</v>
      </c>
      <c r="S119" s="208"/>
      <c r="T119" s="208"/>
      <c r="U119" s="208"/>
      <c r="V119" s="208">
        <v>0.03081795930448451</v>
      </c>
      <c r="W119" s="208"/>
      <c r="X119" s="208">
        <v>0.8736737373024835</v>
      </c>
      <c r="Y119" s="208"/>
      <c r="Z119" s="208">
        <v>78</v>
      </c>
      <c r="AA119" s="208"/>
      <c r="AB119" s="403">
        <v>243</v>
      </c>
      <c r="AC119" s="208"/>
      <c r="AD119" s="208">
        <v>0.280438483578575</v>
      </c>
      <c r="AE119" s="208"/>
      <c r="AF119" s="208">
        <v>0.0035953651740842944</v>
      </c>
    </row>
    <row r="120" spans="1:32" ht="12.75">
      <c r="A120" s="14" t="s">
        <v>103</v>
      </c>
      <c r="B120" s="272">
        <v>4.049086815825161</v>
      </c>
      <c r="C120" s="208"/>
      <c r="D120" s="208">
        <v>32.070598007412165</v>
      </c>
      <c r="E120" s="208"/>
      <c r="F120" s="208">
        <v>2.777704699630521</v>
      </c>
      <c r="G120" s="208"/>
      <c r="H120" s="208">
        <v>6</v>
      </c>
      <c r="I120" s="208"/>
      <c r="J120" s="208">
        <v>2.6110424176526896</v>
      </c>
      <c r="K120" s="208"/>
      <c r="L120" s="208">
        <v>0</v>
      </c>
      <c r="M120" s="208"/>
      <c r="N120" s="208">
        <v>10</v>
      </c>
      <c r="O120" s="208"/>
      <c r="P120" s="41">
        <f>0.01*42.5317259142707</f>
        <v>0.425317259142707</v>
      </c>
      <c r="Q120" s="208"/>
      <c r="R120" s="208">
        <v>2.3499381758874205</v>
      </c>
      <c r="S120" s="208"/>
      <c r="T120" s="208">
        <v>0.2701078363088989</v>
      </c>
      <c r="U120" s="208"/>
      <c r="V120" s="208">
        <v>0.1030109885320513</v>
      </c>
      <c r="W120" s="208"/>
      <c r="X120" s="208">
        <v>2.9203100193893885</v>
      </c>
      <c r="Y120" s="208"/>
      <c r="Z120" s="208">
        <v>94</v>
      </c>
      <c r="AA120" s="208"/>
      <c r="AB120" s="403">
        <v>247</v>
      </c>
      <c r="AC120" s="208"/>
      <c r="AD120" s="208">
        <v>1.1113730438162044</v>
      </c>
      <c r="AE120" s="208"/>
      <c r="AF120" s="208">
        <v>0.01182311748740643</v>
      </c>
    </row>
    <row r="121" spans="1:34" ht="12.75">
      <c r="A121" s="112" t="s">
        <v>63</v>
      </c>
      <c r="B121" s="309">
        <f>SUM(B119:B120)</f>
        <v>6.820812571715512</v>
      </c>
      <c r="C121" s="309"/>
      <c r="D121" s="309"/>
      <c r="E121" s="309"/>
      <c r="F121" s="309"/>
      <c r="G121" s="309"/>
      <c r="H121" s="309"/>
      <c r="I121" s="309"/>
      <c r="J121" s="309"/>
      <c r="K121" s="309"/>
      <c r="L121" s="309"/>
      <c r="M121" s="309"/>
      <c r="N121" s="309"/>
      <c r="O121" s="309"/>
      <c r="P121" s="310">
        <f>1-(R121/B121)</f>
        <v>0.5524033477798502</v>
      </c>
      <c r="Q121" s="309"/>
      <c r="R121" s="309">
        <f aca="true" t="shared" si="11" ref="R121:AF121">SUM(R119:R120)</f>
        <v>3.0529728725209733</v>
      </c>
      <c r="S121" s="309">
        <f t="shared" si="11"/>
        <v>0</v>
      </c>
      <c r="T121" s="309">
        <f t="shared" si="11"/>
        <v>0.2701078363088989</v>
      </c>
      <c r="U121" s="309">
        <f t="shared" si="11"/>
        <v>0</v>
      </c>
      <c r="V121" s="309">
        <f t="shared" si="11"/>
        <v>0.13382894783653582</v>
      </c>
      <c r="W121" s="309">
        <f t="shared" si="11"/>
        <v>0</v>
      </c>
      <c r="X121" s="309">
        <f t="shared" si="11"/>
        <v>3.793983756691872</v>
      </c>
      <c r="Y121" s="309">
        <f t="shared" si="11"/>
        <v>0</v>
      </c>
      <c r="Z121" s="309">
        <f t="shared" si="11"/>
        <v>172</v>
      </c>
      <c r="AA121" s="309">
        <f t="shared" si="11"/>
        <v>0</v>
      </c>
      <c r="AB121" s="400">
        <f t="shared" si="11"/>
        <v>490</v>
      </c>
      <c r="AC121" s="309">
        <f t="shared" si="11"/>
        <v>0</v>
      </c>
      <c r="AD121" s="309">
        <f t="shared" si="11"/>
        <v>1.3918115273947793</v>
      </c>
      <c r="AE121" s="309">
        <f t="shared" si="11"/>
        <v>0</v>
      </c>
      <c r="AF121" s="309">
        <f t="shared" si="11"/>
        <v>0.015418482661490724</v>
      </c>
      <c r="AH121" s="335">
        <f>B121/AF121</f>
        <v>442.37897602928246</v>
      </c>
    </row>
    <row r="122" spans="1:32" ht="12.75">
      <c r="A122" s="14"/>
      <c r="B122" s="208"/>
      <c r="C122" s="208"/>
      <c r="D122" s="208"/>
      <c r="E122" s="208"/>
      <c r="F122" s="208"/>
      <c r="G122" s="208"/>
      <c r="H122" s="208"/>
      <c r="I122" s="208"/>
      <c r="J122" s="208"/>
      <c r="K122" s="208"/>
      <c r="L122" s="208"/>
      <c r="M122" s="208"/>
      <c r="N122" s="208"/>
      <c r="O122" s="208"/>
      <c r="P122" s="41"/>
      <c r="Q122" s="208"/>
      <c r="R122" s="208"/>
      <c r="S122" s="208"/>
      <c r="T122" s="208"/>
      <c r="U122" s="208"/>
      <c r="V122" s="208"/>
      <c r="W122" s="208"/>
      <c r="X122" s="208"/>
      <c r="Y122" s="208"/>
      <c r="Z122" s="208"/>
      <c r="AA122" s="208"/>
      <c r="AB122" s="403"/>
      <c r="AC122" s="208"/>
      <c r="AD122" s="208"/>
      <c r="AE122" s="208"/>
      <c r="AF122" s="208"/>
    </row>
    <row r="123" spans="1:32" ht="12.75">
      <c r="A123" s="8" t="s">
        <v>413</v>
      </c>
      <c r="B123" s="208"/>
      <c r="C123" s="208"/>
      <c r="D123" s="208"/>
      <c r="E123" s="208"/>
      <c r="F123" s="208"/>
      <c r="G123" s="208"/>
      <c r="H123" s="208"/>
      <c r="I123" s="208"/>
      <c r="J123" s="208"/>
      <c r="K123" s="208"/>
      <c r="L123" s="208"/>
      <c r="M123" s="208"/>
      <c r="N123" s="208"/>
      <c r="O123" s="208"/>
      <c r="P123" s="41"/>
      <c r="Q123" s="208"/>
      <c r="R123" s="208"/>
      <c r="S123" s="208"/>
      <c r="T123" s="208"/>
      <c r="U123" s="208"/>
      <c r="V123" s="208"/>
      <c r="W123" s="208"/>
      <c r="X123" s="208"/>
      <c r="Y123" s="208"/>
      <c r="Z123" s="208"/>
      <c r="AA123" s="208"/>
      <c r="AB123" s="403"/>
      <c r="AC123" s="208"/>
      <c r="AD123" s="208"/>
      <c r="AE123" s="208"/>
      <c r="AF123" s="208"/>
    </row>
    <row r="124" spans="1:32" ht="12.75">
      <c r="A124" s="14" t="s">
        <v>85</v>
      </c>
      <c r="B124" s="208"/>
      <c r="C124" s="208"/>
      <c r="D124" s="208"/>
      <c r="E124" s="208"/>
      <c r="F124" s="208"/>
      <c r="G124" s="208"/>
      <c r="H124" s="208"/>
      <c r="I124" s="208"/>
      <c r="J124" s="208"/>
      <c r="K124" s="208"/>
      <c r="L124" s="208"/>
      <c r="M124" s="208"/>
      <c r="N124" s="208"/>
      <c r="O124" s="208"/>
      <c r="P124" s="41"/>
      <c r="Q124" s="208"/>
      <c r="R124" s="208"/>
      <c r="S124" s="208"/>
      <c r="T124" s="208"/>
      <c r="U124" s="208"/>
      <c r="V124" s="208"/>
      <c r="W124" s="208"/>
      <c r="X124" s="208"/>
      <c r="Y124" s="208"/>
      <c r="Z124" s="208"/>
      <c r="AA124" s="208"/>
      <c r="AB124" s="403"/>
      <c r="AC124" s="208"/>
      <c r="AD124" s="208"/>
      <c r="AE124" s="208"/>
      <c r="AF124" s="208"/>
    </row>
    <row r="125" spans="1:32" ht="12.75">
      <c r="A125" s="14"/>
      <c r="B125" s="208"/>
      <c r="C125" s="208"/>
      <c r="D125" s="208"/>
      <c r="E125" s="208"/>
      <c r="F125" s="208"/>
      <c r="G125" s="208"/>
      <c r="H125" s="208"/>
      <c r="I125" s="208"/>
      <c r="J125" s="208"/>
      <c r="K125" s="208"/>
      <c r="L125" s="208"/>
      <c r="M125" s="208"/>
      <c r="N125" s="208"/>
      <c r="O125" s="208"/>
      <c r="P125" s="41"/>
      <c r="Q125" s="208"/>
      <c r="R125" s="208"/>
      <c r="S125" s="208"/>
      <c r="T125" s="208"/>
      <c r="U125" s="208"/>
      <c r="V125" s="208"/>
      <c r="W125" s="208"/>
      <c r="X125" s="208"/>
      <c r="Y125" s="208"/>
      <c r="Z125" s="208"/>
      <c r="AA125" s="208"/>
      <c r="AB125" s="403"/>
      <c r="AC125" s="208"/>
      <c r="AD125" s="208"/>
      <c r="AE125" s="208"/>
      <c r="AF125" s="208"/>
    </row>
    <row r="126" spans="1:32" ht="12.75">
      <c r="A126" s="8" t="s">
        <v>428</v>
      </c>
      <c r="B126" s="208"/>
      <c r="C126" s="208"/>
      <c r="D126" s="208"/>
      <c r="E126" s="208"/>
      <c r="F126" s="208"/>
      <c r="G126" s="208"/>
      <c r="H126" s="208"/>
      <c r="I126" s="208"/>
      <c r="J126" s="208"/>
      <c r="K126" s="208"/>
      <c r="L126" s="208"/>
      <c r="M126" s="208"/>
      <c r="N126" s="208"/>
      <c r="O126" s="208"/>
      <c r="P126" s="41"/>
      <c r="Q126" s="208"/>
      <c r="R126" s="208"/>
      <c r="S126" s="208"/>
      <c r="T126" s="208"/>
      <c r="U126" s="208"/>
      <c r="V126" s="208"/>
      <c r="W126" s="208"/>
      <c r="X126" s="208"/>
      <c r="Y126" s="208"/>
      <c r="Z126" s="208"/>
      <c r="AA126" s="208"/>
      <c r="AB126" s="403"/>
      <c r="AC126" s="208"/>
      <c r="AD126" s="208"/>
      <c r="AE126" s="208"/>
      <c r="AF126" s="208"/>
    </row>
    <row r="127" spans="1:32" ht="12.75">
      <c r="A127" s="14" t="s">
        <v>421</v>
      </c>
      <c r="B127" s="272">
        <v>2.96651041241192</v>
      </c>
      <c r="C127" s="208"/>
      <c r="D127" s="208">
        <v>4</v>
      </c>
      <c r="E127" s="208"/>
      <c r="F127" s="208">
        <v>2.8478499959154435</v>
      </c>
      <c r="G127" s="208"/>
      <c r="H127" s="208">
        <v>6.963065155121987</v>
      </c>
      <c r="I127" s="208"/>
      <c r="J127" s="208">
        <v>2.649552345179712</v>
      </c>
      <c r="K127" s="208"/>
      <c r="L127" s="208">
        <v>47</v>
      </c>
      <c r="M127" s="208"/>
      <c r="N127" s="208">
        <v>44</v>
      </c>
      <c r="O127" s="208"/>
      <c r="P127" s="41">
        <f>0.01*91.9616088294025</f>
        <v>0.919616088294025</v>
      </c>
      <c r="Q127" s="208"/>
      <c r="R127" s="208">
        <v>0.2384597110661742</v>
      </c>
      <c r="S127" s="208"/>
      <c r="T127" s="208"/>
      <c r="U127" s="208"/>
      <c r="V127" s="208">
        <v>0.010453028430298047</v>
      </c>
      <c r="W127" s="208"/>
      <c r="X127" s="208">
        <v>0.2963381294847345</v>
      </c>
      <c r="Y127" s="208"/>
      <c r="Z127" s="208">
        <v>61</v>
      </c>
      <c r="AA127" s="208"/>
      <c r="AB127" s="403">
        <v>212</v>
      </c>
      <c r="AC127" s="208"/>
      <c r="AD127" s="208">
        <v>0.08526710329513586</v>
      </c>
      <c r="AE127" s="208"/>
      <c r="AF127" s="208">
        <v>0.0013978213654940303</v>
      </c>
    </row>
    <row r="128" spans="1:32" ht="12.75">
      <c r="A128" s="14" t="s">
        <v>422</v>
      </c>
      <c r="B128" s="208">
        <v>3.7219207100163105</v>
      </c>
      <c r="C128" s="208"/>
      <c r="D128" s="208">
        <v>66.34615384615385</v>
      </c>
      <c r="E128" s="208"/>
      <c r="F128" s="208">
        <v>1.2525694697170273</v>
      </c>
      <c r="G128" s="208"/>
      <c r="H128" s="208">
        <v>6</v>
      </c>
      <c r="I128" s="208"/>
      <c r="J128" s="208">
        <v>1.177415301534006</v>
      </c>
      <c r="K128" s="208"/>
      <c r="L128" s="208">
        <v>0</v>
      </c>
      <c r="M128" s="208"/>
      <c r="N128" s="208">
        <v>10</v>
      </c>
      <c r="O128" s="208"/>
      <c r="P128" s="41">
        <f>0.01*71.5288461538462</f>
        <v>0.715288461538462</v>
      </c>
      <c r="Q128" s="208"/>
      <c r="R128" s="208">
        <v>1.0596737713806053</v>
      </c>
      <c r="S128" s="208"/>
      <c r="T128" s="208">
        <v>0.12110557387206917</v>
      </c>
      <c r="U128" s="208"/>
      <c r="V128" s="208">
        <v>0.046451452992026535</v>
      </c>
      <c r="W128" s="208"/>
      <c r="X128" s="208">
        <v>1.3168754665974562</v>
      </c>
      <c r="Y128" s="208"/>
      <c r="Z128" s="208">
        <v>51</v>
      </c>
      <c r="AA128" s="208"/>
      <c r="AB128" s="403">
        <v>244</v>
      </c>
      <c r="AC128" s="208"/>
      <c r="AD128" s="208">
        <v>0.2752485606412717</v>
      </c>
      <c r="AE128" s="208"/>
      <c r="AF128" s="208">
        <v>0.005397030600809247</v>
      </c>
    </row>
    <row r="129" spans="1:34" ht="12.75">
      <c r="A129" s="112" t="s">
        <v>63</v>
      </c>
      <c r="B129" s="309">
        <f aca="true" t="shared" si="12" ref="B129:AF129">SUM(B127:B128)</f>
        <v>6.688431122428231</v>
      </c>
      <c r="C129" s="309">
        <f t="shared" si="12"/>
        <v>0</v>
      </c>
      <c r="D129" s="309">
        <f t="shared" si="12"/>
        <v>70.34615384615385</v>
      </c>
      <c r="E129" s="309">
        <f t="shared" si="12"/>
        <v>0</v>
      </c>
      <c r="F129" s="309">
        <f t="shared" si="12"/>
        <v>4.100419465632471</v>
      </c>
      <c r="G129" s="309">
        <f t="shared" si="12"/>
        <v>0</v>
      </c>
      <c r="H129" s="309">
        <f t="shared" si="12"/>
        <v>12.963065155121987</v>
      </c>
      <c r="I129" s="309">
        <f t="shared" si="12"/>
        <v>0</v>
      </c>
      <c r="J129" s="309">
        <f t="shared" si="12"/>
        <v>3.826967646713718</v>
      </c>
      <c r="K129" s="309">
        <f t="shared" si="12"/>
        <v>0</v>
      </c>
      <c r="L129" s="309">
        <f t="shared" si="12"/>
        <v>47</v>
      </c>
      <c r="M129" s="309">
        <f t="shared" si="12"/>
        <v>0</v>
      </c>
      <c r="N129" s="309">
        <f t="shared" si="12"/>
        <v>54</v>
      </c>
      <c r="O129" s="309">
        <f t="shared" si="12"/>
        <v>0</v>
      </c>
      <c r="P129" s="309">
        <f t="shared" si="12"/>
        <v>1.634904549832487</v>
      </c>
      <c r="Q129" s="309">
        <f t="shared" si="12"/>
        <v>0</v>
      </c>
      <c r="R129" s="309">
        <f t="shared" si="12"/>
        <v>1.2981334824467794</v>
      </c>
      <c r="S129" s="309">
        <f t="shared" si="12"/>
        <v>0</v>
      </c>
      <c r="T129" s="309">
        <f t="shared" si="12"/>
        <v>0.12110557387206917</v>
      </c>
      <c r="U129" s="309">
        <f t="shared" si="12"/>
        <v>0</v>
      </c>
      <c r="V129" s="309">
        <f t="shared" si="12"/>
        <v>0.056904481422324585</v>
      </c>
      <c r="W129" s="309">
        <f t="shared" si="12"/>
        <v>0</v>
      </c>
      <c r="X129" s="309">
        <f t="shared" si="12"/>
        <v>1.6132135960821907</v>
      </c>
      <c r="Y129" s="309">
        <f t="shared" si="12"/>
        <v>0</v>
      </c>
      <c r="Z129" s="309">
        <f t="shared" si="12"/>
        <v>112</v>
      </c>
      <c r="AA129" s="309">
        <f t="shared" si="12"/>
        <v>0</v>
      </c>
      <c r="AB129" s="309">
        <f t="shared" si="12"/>
        <v>456</v>
      </c>
      <c r="AC129" s="309">
        <f t="shared" si="12"/>
        <v>0</v>
      </c>
      <c r="AD129" s="309">
        <f t="shared" si="12"/>
        <v>0.36051566393640755</v>
      </c>
      <c r="AE129" s="309">
        <f t="shared" si="12"/>
        <v>0</v>
      </c>
      <c r="AF129" s="309">
        <f t="shared" si="12"/>
        <v>0.006794851966303277</v>
      </c>
      <c r="AH129" s="335">
        <f>B129/AF129</f>
        <v>984.338018782042</v>
      </c>
    </row>
    <row r="130" spans="1:32" ht="12.75">
      <c r="A130" s="14"/>
      <c r="B130" s="208"/>
      <c r="C130" s="208"/>
      <c r="D130" s="208"/>
      <c r="E130" s="208"/>
      <c r="F130" s="208"/>
      <c r="G130" s="208"/>
      <c r="H130" s="208"/>
      <c r="I130" s="208"/>
      <c r="J130" s="208"/>
      <c r="K130" s="208"/>
      <c r="L130" s="208"/>
      <c r="M130" s="208"/>
      <c r="N130" s="208"/>
      <c r="O130" s="208"/>
      <c r="P130" s="41"/>
      <c r="Q130" s="208"/>
      <c r="R130" s="208"/>
      <c r="S130" s="208"/>
      <c r="T130" s="208"/>
      <c r="U130" s="208"/>
      <c r="V130" s="208"/>
      <c r="W130" s="208"/>
      <c r="X130" s="208"/>
      <c r="Y130" s="208"/>
      <c r="Z130" s="208"/>
      <c r="AA130" s="208"/>
      <c r="AB130" s="403"/>
      <c r="AC130" s="208"/>
      <c r="AD130" s="208"/>
      <c r="AE130" s="208"/>
      <c r="AF130" s="208"/>
    </row>
    <row r="131" spans="1:32" ht="12.75">
      <c r="A131" s="8" t="s">
        <v>429</v>
      </c>
      <c r="B131" s="208"/>
      <c r="C131" s="208"/>
      <c r="D131" s="208"/>
      <c r="E131" s="208"/>
      <c r="F131" s="208"/>
      <c r="G131" s="208"/>
      <c r="H131" s="208"/>
      <c r="I131" s="208"/>
      <c r="J131" s="208"/>
      <c r="K131" s="208"/>
      <c r="L131" s="208"/>
      <c r="M131" s="208"/>
      <c r="N131" s="208"/>
      <c r="O131" s="208"/>
      <c r="P131" s="41"/>
      <c r="Q131" s="208"/>
      <c r="R131" s="208"/>
      <c r="S131" s="208"/>
      <c r="T131" s="208"/>
      <c r="U131" s="208"/>
      <c r="V131" s="208"/>
      <c r="W131" s="208"/>
      <c r="X131" s="208"/>
      <c r="Y131" s="208"/>
      <c r="Z131" s="208"/>
      <c r="AA131" s="208"/>
      <c r="AB131" s="403"/>
      <c r="AC131" s="208"/>
      <c r="AD131" s="208"/>
      <c r="AE131" s="208"/>
      <c r="AF131" s="208"/>
    </row>
    <row r="132" spans="1:32" ht="12.75">
      <c r="A132" s="14" t="s">
        <v>423</v>
      </c>
      <c r="B132" s="208">
        <v>2.4250526230141043</v>
      </c>
      <c r="C132" s="208"/>
      <c r="D132" s="208">
        <v>5</v>
      </c>
      <c r="E132" s="208"/>
      <c r="F132" s="208">
        <v>2.3037999918633987</v>
      </c>
      <c r="G132" s="208"/>
      <c r="H132" s="208">
        <v>8.317462745050063</v>
      </c>
      <c r="I132" s="208"/>
      <c r="J132" s="208">
        <v>2.1121822858196935</v>
      </c>
      <c r="K132" s="208"/>
      <c r="L132" s="208">
        <v>16</v>
      </c>
      <c r="M132" s="208"/>
      <c r="N132" s="208">
        <v>44</v>
      </c>
      <c r="O132" s="208"/>
      <c r="P132" s="41">
        <f>0.01*65.160635843119</f>
        <v>0.65160635843119</v>
      </c>
      <c r="Q132" s="208"/>
      <c r="R132" s="208">
        <v>0.8448729143278776</v>
      </c>
      <c r="S132" s="208"/>
      <c r="T132" s="208"/>
      <c r="U132" s="208"/>
      <c r="V132" s="208">
        <v>0.03703552501163299</v>
      </c>
      <c r="W132" s="208"/>
      <c r="X132" s="208">
        <v>1.0499386163172895</v>
      </c>
      <c r="Y132" s="208"/>
      <c r="Z132" s="208">
        <v>62</v>
      </c>
      <c r="AA132" s="208"/>
      <c r="AB132" s="403">
        <v>207.7</v>
      </c>
      <c r="AC132" s="208"/>
      <c r="AD132" s="208">
        <v>0.3134145123335193</v>
      </c>
      <c r="AE132" s="208"/>
      <c r="AF132" s="208">
        <v>0.0050550727795728905</v>
      </c>
    </row>
    <row r="133" spans="1:32" ht="12.75">
      <c r="A133" s="14" t="s">
        <v>424</v>
      </c>
      <c r="B133" s="208">
        <v>0.8243739926640774</v>
      </c>
      <c r="C133" s="208"/>
      <c r="D133" s="208">
        <v>66.75</v>
      </c>
      <c r="E133" s="208"/>
      <c r="F133" s="208">
        <v>0.27410435256080573</v>
      </c>
      <c r="G133" s="208"/>
      <c r="H133" s="208">
        <v>6</v>
      </c>
      <c r="I133" s="208"/>
      <c r="J133" s="208">
        <v>0.2576580914071574</v>
      </c>
      <c r="K133" s="208"/>
      <c r="L133" s="208">
        <v>0</v>
      </c>
      <c r="M133" s="208"/>
      <c r="N133" s="208">
        <v>10</v>
      </c>
      <c r="O133" s="208"/>
      <c r="P133" s="41">
        <f>0.01*71.8705</f>
        <v>0.718705</v>
      </c>
      <c r="Q133" s="208"/>
      <c r="R133" s="208">
        <v>0.23189228226644168</v>
      </c>
      <c r="S133" s="208"/>
      <c r="T133" s="208">
        <v>0.026501975116164762</v>
      </c>
      <c r="U133" s="208"/>
      <c r="V133" s="208">
        <v>0.01016514114044676</v>
      </c>
      <c r="W133" s="208"/>
      <c r="X133" s="208">
        <v>0.2881766687610953</v>
      </c>
      <c r="Y133" s="208"/>
      <c r="Z133" s="208">
        <v>52</v>
      </c>
      <c r="AA133" s="208"/>
      <c r="AB133" s="403">
        <v>249</v>
      </c>
      <c r="AC133" s="208"/>
      <c r="AD133" s="208">
        <v>0.06018147299428498</v>
      </c>
      <c r="AE133" s="208"/>
      <c r="AF133" s="208">
        <v>0.001157336019120865</v>
      </c>
    </row>
    <row r="134" spans="1:34" ht="12.75">
      <c r="A134" s="112" t="s">
        <v>63</v>
      </c>
      <c r="B134" s="309">
        <f>SUM(B132:B133)</f>
        <v>3.249426615678182</v>
      </c>
      <c r="C134" s="309">
        <f aca="true" t="shared" si="13" ref="C134:AF134">SUM(C132:C133)</f>
        <v>0</v>
      </c>
      <c r="D134" s="309">
        <f t="shared" si="13"/>
        <v>71.75</v>
      </c>
      <c r="E134" s="309">
        <f t="shared" si="13"/>
        <v>0</v>
      </c>
      <c r="F134" s="309">
        <f t="shared" si="13"/>
        <v>2.5779043444242045</v>
      </c>
      <c r="G134" s="309">
        <f t="shared" si="13"/>
        <v>0</v>
      </c>
      <c r="H134" s="309">
        <f t="shared" si="13"/>
        <v>14.317462745050063</v>
      </c>
      <c r="I134" s="309">
        <f t="shared" si="13"/>
        <v>0</v>
      </c>
      <c r="J134" s="309">
        <f t="shared" si="13"/>
        <v>2.369840377226851</v>
      </c>
      <c r="K134" s="309">
        <f t="shared" si="13"/>
        <v>0</v>
      </c>
      <c r="L134" s="309">
        <f t="shared" si="13"/>
        <v>16</v>
      </c>
      <c r="M134" s="309">
        <f t="shared" si="13"/>
        <v>0</v>
      </c>
      <c r="N134" s="309">
        <f t="shared" si="13"/>
        <v>54</v>
      </c>
      <c r="O134" s="309">
        <f t="shared" si="13"/>
        <v>0</v>
      </c>
      <c r="P134" s="309">
        <f t="shared" si="13"/>
        <v>1.3703113584311901</v>
      </c>
      <c r="Q134" s="309">
        <f t="shared" si="13"/>
        <v>0</v>
      </c>
      <c r="R134" s="309">
        <f t="shared" si="13"/>
        <v>1.0767651965943192</v>
      </c>
      <c r="S134" s="309">
        <f t="shared" si="13"/>
        <v>0</v>
      </c>
      <c r="T134" s="309">
        <f t="shared" si="13"/>
        <v>0.026501975116164762</v>
      </c>
      <c r="U134" s="309">
        <f t="shared" si="13"/>
        <v>0</v>
      </c>
      <c r="V134" s="309">
        <f t="shared" si="13"/>
        <v>0.047200666152079754</v>
      </c>
      <c r="W134" s="309">
        <f t="shared" si="13"/>
        <v>0</v>
      </c>
      <c r="X134" s="309">
        <f t="shared" si="13"/>
        <v>1.3381152850783848</v>
      </c>
      <c r="Y134" s="309">
        <f t="shared" si="13"/>
        <v>0</v>
      </c>
      <c r="Z134" s="309">
        <f t="shared" si="13"/>
        <v>114</v>
      </c>
      <c r="AA134" s="309">
        <f t="shared" si="13"/>
        <v>0</v>
      </c>
      <c r="AB134" s="309">
        <f t="shared" si="13"/>
        <v>456.7</v>
      </c>
      <c r="AC134" s="309">
        <f t="shared" si="13"/>
        <v>0</v>
      </c>
      <c r="AD134" s="309">
        <f t="shared" si="13"/>
        <v>0.3735959853278043</v>
      </c>
      <c r="AE134" s="309">
        <f t="shared" si="13"/>
        <v>0</v>
      </c>
      <c r="AF134" s="309">
        <f t="shared" si="13"/>
        <v>0.006212408798693755</v>
      </c>
      <c r="AH134" s="335">
        <f>B134/AF134</f>
        <v>523.0542163228889</v>
      </c>
    </row>
    <row r="135" spans="1:32" ht="12.75">
      <c r="A135" s="14"/>
      <c r="B135" s="208"/>
      <c r="C135" s="208"/>
      <c r="D135" s="208"/>
      <c r="E135" s="208"/>
      <c r="F135" s="208"/>
      <c r="G135" s="208"/>
      <c r="H135" s="208"/>
      <c r="I135" s="208"/>
      <c r="J135" s="208"/>
      <c r="K135" s="208"/>
      <c r="L135" s="208"/>
      <c r="M135" s="208"/>
      <c r="N135" s="208"/>
      <c r="O135" s="208"/>
      <c r="P135" s="41"/>
      <c r="Q135" s="208"/>
      <c r="R135" s="208"/>
      <c r="S135" s="208"/>
      <c r="T135" s="208"/>
      <c r="U135" s="208"/>
      <c r="V135" s="208"/>
      <c r="W135" s="208"/>
      <c r="X135" s="208"/>
      <c r="Y135" s="208"/>
      <c r="Z135" s="208"/>
      <c r="AA135" s="208"/>
      <c r="AB135" s="403"/>
      <c r="AC135" s="208"/>
      <c r="AD135" s="208"/>
      <c r="AE135" s="208"/>
      <c r="AF135" s="208"/>
    </row>
    <row r="136" spans="1:32" ht="12.75">
      <c r="A136" s="8" t="s">
        <v>420</v>
      </c>
      <c r="B136" s="208"/>
      <c r="C136" s="208"/>
      <c r="D136" s="208"/>
      <c r="E136" s="208"/>
      <c r="F136" s="208"/>
      <c r="G136" s="208"/>
      <c r="H136" s="208"/>
      <c r="I136" s="208"/>
      <c r="J136" s="208"/>
      <c r="K136" s="208"/>
      <c r="L136" s="208"/>
      <c r="M136" s="208"/>
      <c r="N136" s="208"/>
      <c r="O136" s="208"/>
      <c r="P136" s="41"/>
      <c r="Q136" s="208"/>
      <c r="R136" s="208"/>
      <c r="S136" s="208"/>
      <c r="T136" s="208"/>
      <c r="U136" s="208"/>
      <c r="V136" s="208"/>
      <c r="W136" s="208"/>
      <c r="X136" s="208"/>
      <c r="Y136" s="208"/>
      <c r="Z136" s="208"/>
      <c r="AA136" s="208"/>
      <c r="AB136" s="403"/>
      <c r="AC136" s="208"/>
      <c r="AD136" s="208"/>
      <c r="AE136" s="208"/>
      <c r="AF136" s="208"/>
    </row>
    <row r="137" spans="1:34" ht="12.75">
      <c r="A137" s="14" t="s">
        <v>85</v>
      </c>
      <c r="B137" s="208">
        <v>3.046951645104296</v>
      </c>
      <c r="C137" s="208"/>
      <c r="D137" s="208">
        <v>5</v>
      </c>
      <c r="E137" s="208"/>
      <c r="F137" s="208">
        <v>2.8946040628490817</v>
      </c>
      <c r="G137" s="208"/>
      <c r="H137" s="208">
        <v>20.437688512800264</v>
      </c>
      <c r="I137" s="208"/>
      <c r="J137" s="208">
        <v>2.303013900805125</v>
      </c>
      <c r="K137" s="208"/>
      <c r="L137" s="208">
        <v>26</v>
      </c>
      <c r="M137" s="208"/>
      <c r="N137" s="208">
        <v>52</v>
      </c>
      <c r="O137" s="208"/>
      <c r="P137" s="41">
        <f>0.01*83.3714768991753</f>
        <v>0.8337147689917531</v>
      </c>
      <c r="Q137" s="208"/>
      <c r="R137" s="208">
        <v>0.5066630581771274</v>
      </c>
      <c r="S137" s="208"/>
      <c r="T137" s="208"/>
      <c r="U137" s="208"/>
      <c r="V137" s="208">
        <v>0.022209887481737096</v>
      </c>
      <c r="W137" s="208"/>
      <c r="X137" s="208">
        <v>0.6296392051635058</v>
      </c>
      <c r="Y137" s="208"/>
      <c r="Z137" s="208">
        <v>103</v>
      </c>
      <c r="AA137" s="208"/>
      <c r="AB137" s="403">
        <v>195</v>
      </c>
      <c r="AC137" s="208"/>
      <c r="AD137" s="208">
        <v>0.3325786570863646</v>
      </c>
      <c r="AE137" s="208"/>
      <c r="AF137" s="208">
        <v>0.0032289190008384914</v>
      </c>
      <c r="AH137" s="129">
        <f>B137/AF137</f>
        <v>943.6444965987249</v>
      </c>
    </row>
    <row r="138" spans="1:32" ht="12.75">
      <c r="A138" s="14"/>
      <c r="B138" s="208"/>
      <c r="C138" s="208"/>
      <c r="D138" s="208"/>
      <c r="E138" s="208"/>
      <c r="F138" s="208"/>
      <c r="G138" s="208"/>
      <c r="H138" s="208"/>
      <c r="I138" s="208"/>
      <c r="J138" s="208"/>
      <c r="K138" s="208"/>
      <c r="L138" s="208"/>
      <c r="M138" s="208"/>
      <c r="N138" s="208"/>
      <c r="O138" s="208"/>
      <c r="P138" s="41"/>
      <c r="Q138" s="208"/>
      <c r="R138" s="208"/>
      <c r="S138" s="208"/>
      <c r="T138" s="208"/>
      <c r="U138" s="208"/>
      <c r="V138" s="208"/>
      <c r="W138" s="208"/>
      <c r="X138" s="208"/>
      <c r="Y138" s="208"/>
      <c r="Z138" s="208"/>
      <c r="AA138" s="208"/>
      <c r="AB138" s="403"/>
      <c r="AC138" s="208"/>
      <c r="AD138" s="208"/>
      <c r="AE138" s="208"/>
      <c r="AF138" s="208"/>
    </row>
    <row r="139" spans="1:32" ht="12.75">
      <c r="A139" s="8" t="s">
        <v>426</v>
      </c>
      <c r="B139" s="208"/>
      <c r="C139" s="208"/>
      <c r="D139" s="208"/>
      <c r="E139" s="208"/>
      <c r="F139" s="208"/>
      <c r="G139" s="208"/>
      <c r="H139" s="208"/>
      <c r="I139" s="208"/>
      <c r="J139" s="208"/>
      <c r="K139" s="208"/>
      <c r="L139" s="208"/>
      <c r="M139" s="208"/>
      <c r="N139" s="208"/>
      <c r="O139" s="208"/>
      <c r="P139" s="41"/>
      <c r="Q139" s="208"/>
      <c r="R139" s="208"/>
      <c r="S139" s="208"/>
      <c r="T139" s="208"/>
      <c r="U139" s="208"/>
      <c r="V139" s="208"/>
      <c r="W139" s="208"/>
      <c r="X139" s="208"/>
      <c r="Y139" s="208"/>
      <c r="Z139" s="208"/>
      <c r="AA139" s="208"/>
      <c r="AB139" s="403"/>
      <c r="AC139" s="208"/>
      <c r="AD139" s="208"/>
      <c r="AE139" s="208"/>
      <c r="AF139" s="208"/>
    </row>
    <row r="140" spans="1:34" ht="12.75">
      <c r="A140" s="14" t="s">
        <v>85</v>
      </c>
      <c r="B140" s="208">
        <v>2.1121617890151554</v>
      </c>
      <c r="C140" s="208"/>
      <c r="D140" s="208">
        <v>5</v>
      </c>
      <c r="E140" s="208"/>
      <c r="F140" s="208">
        <v>2.0065536995643978</v>
      </c>
      <c r="G140" s="208"/>
      <c r="H140" s="208">
        <v>14.465165583510986</v>
      </c>
      <c r="I140" s="208"/>
      <c r="J140" s="208">
        <v>1.716302384400342</v>
      </c>
      <c r="K140" s="208"/>
      <c r="L140" s="208">
        <v>31</v>
      </c>
      <c r="M140" s="208"/>
      <c r="N140" s="208">
        <v>13</v>
      </c>
      <c r="O140" s="208"/>
      <c r="P140" s="41">
        <f>0.01*54.4954680904278</f>
        <v>0.544954680904278</v>
      </c>
      <c r="Q140" s="208"/>
      <c r="R140" s="208">
        <v>0.9611293352641915</v>
      </c>
      <c r="S140" s="208"/>
      <c r="T140" s="208"/>
      <c r="U140" s="208"/>
      <c r="V140" s="208">
        <v>0.042131696888293324</v>
      </c>
      <c r="W140" s="208"/>
      <c r="X140" s="208">
        <v>1.1944125409346715</v>
      </c>
      <c r="Y140" s="208"/>
      <c r="Z140" s="208">
        <v>107</v>
      </c>
      <c r="AA140" s="208"/>
      <c r="AB140" s="403">
        <v>165</v>
      </c>
      <c r="AC140" s="208"/>
      <c r="AD140" s="208">
        <v>0.7745584356364235</v>
      </c>
      <c r="AE140" s="208"/>
      <c r="AF140" s="208">
        <v>0.007238863884452555</v>
      </c>
      <c r="AH140" s="129">
        <f>B140/AF140</f>
        <v>291.7808405752181</v>
      </c>
    </row>
    <row r="141" spans="1:32" ht="12.75">
      <c r="A141" s="14"/>
      <c r="B141" s="208"/>
      <c r="C141" s="208"/>
      <c r="D141" s="208"/>
      <c r="E141" s="208"/>
      <c r="F141" s="208"/>
      <c r="G141" s="208"/>
      <c r="H141" s="208"/>
      <c r="I141" s="208"/>
      <c r="J141" s="208"/>
      <c r="K141" s="208"/>
      <c r="L141" s="208"/>
      <c r="M141" s="208"/>
      <c r="N141" s="208"/>
      <c r="O141" s="208"/>
      <c r="P141" s="41"/>
      <c r="Q141" s="208"/>
      <c r="R141" s="208"/>
      <c r="S141" s="208"/>
      <c r="T141" s="208"/>
      <c r="U141" s="208"/>
      <c r="V141" s="208"/>
      <c r="W141" s="208"/>
      <c r="X141" s="208"/>
      <c r="Y141" s="208"/>
      <c r="Z141" s="208"/>
      <c r="AA141" s="208"/>
      <c r="AB141" s="403"/>
      <c r="AC141" s="208"/>
      <c r="AD141" s="208"/>
      <c r="AE141" s="208"/>
      <c r="AF141" s="208"/>
    </row>
    <row r="142" spans="1:32" ht="12.75">
      <c r="A142" s="8" t="s">
        <v>427</v>
      </c>
      <c r="B142" s="208"/>
      <c r="C142" s="208"/>
      <c r="D142" s="208"/>
      <c r="E142" s="208"/>
      <c r="F142" s="208"/>
      <c r="G142" s="208"/>
      <c r="H142" s="208"/>
      <c r="I142" s="208"/>
      <c r="J142" s="208"/>
      <c r="K142" s="208"/>
      <c r="L142" s="208"/>
      <c r="M142" s="208"/>
      <c r="N142" s="208"/>
      <c r="O142" s="208"/>
      <c r="P142" s="41"/>
      <c r="Q142" s="208"/>
      <c r="R142" s="208"/>
      <c r="S142" s="208"/>
      <c r="T142" s="208"/>
      <c r="U142" s="208"/>
      <c r="V142" s="208"/>
      <c r="W142" s="208"/>
      <c r="X142" s="208"/>
      <c r="Y142" s="208"/>
      <c r="Z142" s="208"/>
      <c r="AA142" s="208"/>
      <c r="AB142" s="403"/>
      <c r="AC142" s="208"/>
      <c r="AD142" s="208"/>
      <c r="AE142" s="208"/>
      <c r="AF142" s="208"/>
    </row>
    <row r="143" spans="1:34" ht="12.75">
      <c r="A143" s="14" t="s">
        <v>86</v>
      </c>
      <c r="B143" s="208">
        <v>1.1719170306795637</v>
      </c>
      <c r="C143" s="208"/>
      <c r="D143" s="208">
        <v>5.660377358490576</v>
      </c>
      <c r="E143" s="208"/>
      <c r="F143" s="208">
        <v>1.1055821044146825</v>
      </c>
      <c r="G143" s="208"/>
      <c r="H143" s="208">
        <v>6</v>
      </c>
      <c r="I143" s="208"/>
      <c r="J143" s="208">
        <v>1.0392471781498016</v>
      </c>
      <c r="K143" s="208"/>
      <c r="L143" s="208">
        <v>0</v>
      </c>
      <c r="M143" s="208"/>
      <c r="N143" s="208">
        <v>25</v>
      </c>
      <c r="O143" s="208"/>
      <c r="P143" s="41">
        <f>0.01*33.4905660377359</f>
        <v>0.334905660377359</v>
      </c>
      <c r="Q143" s="208"/>
      <c r="R143" s="208">
        <v>0.7794353836123512</v>
      </c>
      <c r="S143" s="208"/>
      <c r="T143" s="208"/>
      <c r="U143" s="208"/>
      <c r="V143" s="208">
        <v>0.03416703051451402</v>
      </c>
      <c r="W143" s="208"/>
      <c r="X143" s="208">
        <v>0.9686182315712152</v>
      </c>
      <c r="Y143" s="208"/>
      <c r="Z143" s="208">
        <v>164</v>
      </c>
      <c r="AA143" s="208"/>
      <c r="AB143" s="403">
        <v>140</v>
      </c>
      <c r="AC143" s="208"/>
      <c r="AD143" s="208">
        <v>1.134667071269138</v>
      </c>
      <c r="AE143" s="208"/>
      <c r="AF143" s="208">
        <v>0.006918701654080109</v>
      </c>
      <c r="AH143" s="129">
        <f>B143/AF143</f>
        <v>169.38395226053123</v>
      </c>
    </row>
    <row r="144" spans="1:32" ht="12.75">
      <c r="A144" s="14"/>
      <c r="B144" s="208"/>
      <c r="C144" s="208"/>
      <c r="D144" s="208"/>
      <c r="E144" s="208"/>
      <c r="F144" s="208"/>
      <c r="G144" s="208"/>
      <c r="H144" s="208"/>
      <c r="I144" s="208"/>
      <c r="J144" s="208"/>
      <c r="K144" s="208"/>
      <c r="L144" s="208"/>
      <c r="M144" s="208"/>
      <c r="N144" s="208"/>
      <c r="O144" s="208"/>
      <c r="P144" s="41"/>
      <c r="Q144" s="208"/>
      <c r="R144" s="208"/>
      <c r="S144" s="208"/>
      <c r="T144" s="208"/>
      <c r="U144" s="208"/>
      <c r="V144" s="208"/>
      <c r="W144" s="208"/>
      <c r="X144" s="208"/>
      <c r="Y144" s="208"/>
      <c r="Z144" s="208"/>
      <c r="AA144" s="208"/>
      <c r="AB144" s="403"/>
      <c r="AC144" s="208"/>
      <c r="AD144" s="208"/>
      <c r="AE144" s="208"/>
      <c r="AF144" s="208"/>
    </row>
    <row r="145" spans="1:32" ht="12.75">
      <c r="A145" s="337" t="s">
        <v>463</v>
      </c>
      <c r="B145" s="208"/>
      <c r="C145" s="208"/>
      <c r="D145" s="208"/>
      <c r="E145" s="208"/>
      <c r="F145" s="208"/>
      <c r="G145" s="208"/>
      <c r="H145" s="208"/>
      <c r="I145" s="208"/>
      <c r="J145" s="208"/>
      <c r="K145" s="208"/>
      <c r="L145" s="208"/>
      <c r="M145" s="208"/>
      <c r="N145" s="208"/>
      <c r="O145" s="208"/>
      <c r="P145" s="41"/>
      <c r="Q145" s="208"/>
      <c r="R145" s="208"/>
      <c r="S145" s="208"/>
      <c r="T145" s="208"/>
      <c r="U145" s="208"/>
      <c r="V145" s="208"/>
      <c r="W145" s="208"/>
      <c r="X145" s="208"/>
      <c r="Y145" s="208"/>
      <c r="Z145" s="208"/>
      <c r="AA145" s="208"/>
      <c r="AB145" s="403"/>
      <c r="AC145" s="208"/>
      <c r="AD145" s="208"/>
      <c r="AE145" s="208"/>
      <c r="AF145" s="208"/>
    </row>
    <row r="146" spans="1:34" ht="12.75">
      <c r="A146" s="339" t="s">
        <v>85</v>
      </c>
      <c r="B146" s="208">
        <v>0.4723065307554421</v>
      </c>
      <c r="C146" s="208"/>
      <c r="D146" s="208">
        <v>9</v>
      </c>
      <c r="E146" s="208"/>
      <c r="F146" s="208">
        <v>0.4297989429874523</v>
      </c>
      <c r="G146" s="208"/>
      <c r="H146" s="208">
        <v>12.655465353913275</v>
      </c>
      <c r="I146" s="208"/>
      <c r="J146" s="208">
        <v>0.3754058866661898</v>
      </c>
      <c r="K146" s="208"/>
      <c r="L146" s="208">
        <v>14</v>
      </c>
      <c r="M146" s="208"/>
      <c r="N146" s="208">
        <v>45</v>
      </c>
      <c r="O146" s="208"/>
      <c r="P146" s="41">
        <f>0.01*67.4117541235451</f>
        <v>0.674117541235451</v>
      </c>
      <c r="Q146" s="208"/>
      <c r="R146" s="208">
        <v>0.15391641353313784</v>
      </c>
      <c r="S146" s="208"/>
      <c r="T146" s="208"/>
      <c r="U146" s="208"/>
      <c r="V146" s="208">
        <v>0.006747020867206041</v>
      </c>
      <c r="W146" s="208"/>
      <c r="X146" s="208">
        <v>0.19127466807485766</v>
      </c>
      <c r="Y146" s="208"/>
      <c r="Z146" s="208">
        <v>108</v>
      </c>
      <c r="AA146" s="208"/>
      <c r="AB146" s="403">
        <v>177</v>
      </c>
      <c r="AC146" s="208"/>
      <c r="AD146" s="208">
        <v>0.1167099669609301</v>
      </c>
      <c r="AE146" s="208"/>
      <c r="AF146" s="208">
        <v>0.0010806478422308342</v>
      </c>
      <c r="AH146" s="129">
        <f>B146/AF146</f>
        <v>437.0586904429815</v>
      </c>
    </row>
    <row r="147" spans="1:32" ht="12.75">
      <c r="A147" s="233"/>
      <c r="B147" s="208"/>
      <c r="C147" s="208"/>
      <c r="D147" s="208"/>
      <c r="E147" s="208"/>
      <c r="F147" s="208"/>
      <c r="G147" s="208"/>
      <c r="H147" s="208"/>
      <c r="I147" s="208"/>
      <c r="J147" s="208"/>
      <c r="K147" s="208"/>
      <c r="L147" s="208"/>
      <c r="M147" s="208"/>
      <c r="N147" s="208"/>
      <c r="O147" s="208"/>
      <c r="P147" s="41"/>
      <c r="Q147" s="208"/>
      <c r="R147" s="208"/>
      <c r="S147" s="208"/>
      <c r="T147" s="208"/>
      <c r="U147" s="208"/>
      <c r="V147" s="208"/>
      <c r="W147" s="208"/>
      <c r="X147" s="208"/>
      <c r="Y147" s="208"/>
      <c r="Z147" s="208"/>
      <c r="AA147" s="208"/>
      <c r="AB147" s="403"/>
      <c r="AC147" s="208"/>
      <c r="AD147" s="208"/>
      <c r="AE147" s="208"/>
      <c r="AF147" s="208"/>
    </row>
    <row r="148" spans="1:32" ht="12.75">
      <c r="A148" s="337" t="s">
        <v>464</v>
      </c>
      <c r="B148" s="208"/>
      <c r="C148" s="208"/>
      <c r="D148" s="208"/>
      <c r="E148" s="208"/>
      <c r="F148" s="208"/>
      <c r="G148" s="208"/>
      <c r="H148" s="208"/>
      <c r="I148" s="208"/>
      <c r="J148" s="208"/>
      <c r="K148" s="208"/>
      <c r="L148" s="208"/>
      <c r="M148" s="208"/>
      <c r="N148" s="208"/>
      <c r="O148" s="208"/>
      <c r="P148" s="41"/>
      <c r="Q148" s="208"/>
      <c r="R148" s="208"/>
      <c r="S148" s="208"/>
      <c r="T148" s="208"/>
      <c r="U148" s="208"/>
      <c r="V148" s="208"/>
      <c r="W148" s="208"/>
      <c r="X148" s="208"/>
      <c r="Y148" s="208"/>
      <c r="Z148" s="208"/>
      <c r="AA148" s="208"/>
      <c r="AB148" s="403"/>
      <c r="AC148" s="208"/>
      <c r="AD148" s="208"/>
      <c r="AE148" s="208"/>
      <c r="AF148" s="208"/>
    </row>
    <row r="149" spans="1:34" ht="12.75">
      <c r="A149" s="233" t="s">
        <v>85</v>
      </c>
      <c r="B149" s="208">
        <v>1.0920541320844515</v>
      </c>
      <c r="C149" s="208"/>
      <c r="D149" s="208">
        <v>5</v>
      </c>
      <c r="E149" s="208"/>
      <c r="F149" s="208">
        <v>1.037451425480229</v>
      </c>
      <c r="G149" s="208"/>
      <c r="H149" s="208">
        <v>54.89067905605425</v>
      </c>
      <c r="I149" s="208"/>
      <c r="J149" s="208">
        <v>0.4679872931574166</v>
      </c>
      <c r="K149" s="208"/>
      <c r="L149" s="208">
        <v>33</v>
      </c>
      <c r="M149" s="208"/>
      <c r="N149" s="208">
        <v>20</v>
      </c>
      <c r="O149" s="208"/>
      <c r="P149" s="41">
        <f>0.01*79.8586881985282</f>
        <v>0.798586881985282</v>
      </c>
      <c r="Q149" s="208"/>
      <c r="R149" s="208">
        <v>0.21995402778398582</v>
      </c>
      <c r="S149" s="208"/>
      <c r="T149" s="208"/>
      <c r="U149" s="208"/>
      <c r="V149" s="208">
        <v>0.009641820396010334</v>
      </c>
      <c r="W149" s="208"/>
      <c r="X149" s="208">
        <v>0.273340787316695</v>
      </c>
      <c r="Y149" s="208"/>
      <c r="Z149" s="208">
        <v>59</v>
      </c>
      <c r="AA149" s="208"/>
      <c r="AB149" s="403">
        <v>152</v>
      </c>
      <c r="AC149" s="208"/>
      <c r="AD149" s="208">
        <v>0.10609938455055926</v>
      </c>
      <c r="AE149" s="208"/>
      <c r="AF149" s="208">
        <v>0.0017982946533993092</v>
      </c>
      <c r="AH149" s="129">
        <f>B149/AF149</f>
        <v>607.2720785885372</v>
      </c>
    </row>
    <row r="150" spans="1:32" ht="12.75">
      <c r="A150" s="233"/>
      <c r="B150" s="208"/>
      <c r="C150" s="208"/>
      <c r="D150" s="208"/>
      <c r="E150" s="208"/>
      <c r="F150" s="208"/>
      <c r="G150" s="208"/>
      <c r="H150" s="208"/>
      <c r="I150" s="208"/>
      <c r="J150" s="208"/>
      <c r="K150" s="208"/>
      <c r="L150" s="208"/>
      <c r="M150" s="208"/>
      <c r="N150" s="208"/>
      <c r="O150" s="208"/>
      <c r="P150" s="41"/>
      <c r="Q150" s="208"/>
      <c r="R150" s="208"/>
      <c r="S150" s="208"/>
      <c r="T150" s="208"/>
      <c r="U150" s="208"/>
      <c r="V150" s="208"/>
      <c r="W150" s="208"/>
      <c r="X150" s="208"/>
      <c r="Y150" s="208"/>
      <c r="Z150" s="208"/>
      <c r="AA150" s="208"/>
      <c r="AB150" s="403"/>
      <c r="AC150" s="208"/>
      <c r="AD150" s="208"/>
      <c r="AE150" s="208"/>
      <c r="AF150" s="208"/>
    </row>
    <row r="151" spans="1:32" ht="12.75">
      <c r="A151" s="337" t="s">
        <v>465</v>
      </c>
      <c r="B151" s="208"/>
      <c r="C151" s="208"/>
      <c r="D151" s="208"/>
      <c r="E151" s="208"/>
      <c r="F151" s="208"/>
      <c r="G151" s="208"/>
      <c r="H151" s="208"/>
      <c r="I151" s="208"/>
      <c r="J151" s="208"/>
      <c r="K151" s="208"/>
      <c r="L151" s="208"/>
      <c r="M151" s="208"/>
      <c r="N151" s="208"/>
      <c r="O151" s="208"/>
      <c r="P151" s="41"/>
      <c r="Q151" s="208"/>
      <c r="R151" s="208"/>
      <c r="S151" s="208"/>
      <c r="T151" s="208"/>
      <c r="U151" s="208"/>
      <c r="V151" s="208"/>
      <c r="W151" s="208"/>
      <c r="X151" s="208"/>
      <c r="Y151" s="208"/>
      <c r="Z151" s="208"/>
      <c r="AA151" s="208"/>
      <c r="AB151" s="403"/>
      <c r="AC151" s="208"/>
      <c r="AD151" s="208"/>
      <c r="AE151" s="208"/>
      <c r="AF151" s="208"/>
    </row>
    <row r="152" spans="1:34" ht="12.75">
      <c r="A152" s="233" t="s">
        <v>96</v>
      </c>
      <c r="B152" s="208">
        <v>0.2129376749392915</v>
      </c>
      <c r="C152" s="208"/>
      <c r="D152" s="208">
        <v>6.542056074766355</v>
      </c>
      <c r="E152" s="208"/>
      <c r="F152" s="208">
        <v>0.19900717284045935</v>
      </c>
      <c r="G152" s="208"/>
      <c r="H152" s="208">
        <v>6</v>
      </c>
      <c r="I152" s="208"/>
      <c r="J152" s="208">
        <v>0.18706674247003177</v>
      </c>
      <c r="K152" s="208"/>
      <c r="L152" s="208">
        <v>10</v>
      </c>
      <c r="M152" s="208"/>
      <c r="N152" s="208">
        <v>25</v>
      </c>
      <c r="O152" s="208"/>
      <c r="P152" s="41">
        <f>0.01*42.8971962616822</f>
        <v>0.42897196261682197</v>
      </c>
      <c r="Q152" s="208"/>
      <c r="R152" s="208">
        <v>0.12159338260552066</v>
      </c>
      <c r="S152" s="208"/>
      <c r="T152" s="208"/>
      <c r="U152" s="208"/>
      <c r="V152" s="208">
        <v>0.005330120881337892</v>
      </c>
      <c r="W152" s="208"/>
      <c r="X152" s="208">
        <v>0.15110626192548854</v>
      </c>
      <c r="Y152" s="208"/>
      <c r="Z152" s="208">
        <v>207</v>
      </c>
      <c r="AA152" s="208"/>
      <c r="AB152" s="403">
        <v>73.5</v>
      </c>
      <c r="AC152" s="208"/>
      <c r="AD152" s="208">
        <v>0.42556457440239637</v>
      </c>
      <c r="AE152" s="208"/>
      <c r="AF152" s="208">
        <v>0.0020558675091903204</v>
      </c>
      <c r="AH152" s="129">
        <f>B152/AF152</f>
        <v>103.57558256424537</v>
      </c>
    </row>
    <row r="153" spans="1:32" ht="12.75">
      <c r="A153" s="233"/>
      <c r="B153" s="208"/>
      <c r="C153" s="208"/>
      <c r="D153" s="208"/>
      <c r="E153" s="208"/>
      <c r="F153" s="208"/>
      <c r="G153" s="208"/>
      <c r="H153" s="208"/>
      <c r="I153" s="208"/>
      <c r="J153" s="208"/>
      <c r="K153" s="208"/>
      <c r="L153" s="208"/>
      <c r="M153" s="208"/>
      <c r="N153" s="208"/>
      <c r="O153" s="208"/>
      <c r="P153" s="41"/>
      <c r="Q153" s="208"/>
      <c r="R153" s="208"/>
      <c r="S153" s="208"/>
      <c r="T153" s="208"/>
      <c r="U153" s="208"/>
      <c r="V153" s="208"/>
      <c r="W153" s="208"/>
      <c r="X153" s="208"/>
      <c r="Y153" s="208"/>
      <c r="Z153" s="208"/>
      <c r="AA153" s="208"/>
      <c r="AB153" s="403"/>
      <c r="AC153" s="208"/>
      <c r="AD153" s="208"/>
      <c r="AE153" s="208"/>
      <c r="AF153" s="208"/>
    </row>
    <row r="154" spans="1:32" ht="12.75">
      <c r="A154" s="337" t="s">
        <v>466</v>
      </c>
      <c r="B154" s="208"/>
      <c r="C154" s="208"/>
      <c r="D154" s="208"/>
      <c r="E154" s="208"/>
      <c r="F154" s="208"/>
      <c r="G154" s="208"/>
      <c r="H154" s="208"/>
      <c r="I154" s="208"/>
      <c r="J154" s="208"/>
      <c r="K154" s="208"/>
      <c r="L154" s="208"/>
      <c r="M154" s="208"/>
      <c r="N154" s="208"/>
      <c r="O154" s="208"/>
      <c r="P154" s="41"/>
      <c r="Q154" s="208"/>
      <c r="R154" s="208"/>
      <c r="S154" s="208"/>
      <c r="T154" s="208"/>
      <c r="U154" s="208"/>
      <c r="V154" s="208"/>
      <c r="W154" s="208"/>
      <c r="X154" s="208"/>
      <c r="Y154" s="208"/>
      <c r="Z154" s="208"/>
      <c r="AA154" s="208"/>
      <c r="AB154" s="403"/>
      <c r="AC154" s="208"/>
      <c r="AD154" s="208"/>
      <c r="AE154" s="208"/>
      <c r="AF154" s="208"/>
    </row>
    <row r="155" spans="1:34" ht="12.75">
      <c r="A155" s="233" t="s">
        <v>96</v>
      </c>
      <c r="B155" s="208">
        <v>0.2550561603489133</v>
      </c>
      <c r="C155" s="208"/>
      <c r="D155" s="208">
        <v>65.98639455782313</v>
      </c>
      <c r="E155" s="208"/>
      <c r="F155" s="208">
        <v>0.08675379603704532</v>
      </c>
      <c r="G155" s="208"/>
      <c r="H155" s="208">
        <v>6</v>
      </c>
      <c r="I155" s="208"/>
      <c r="J155" s="208">
        <v>0.0815485682748226</v>
      </c>
      <c r="K155" s="208"/>
      <c r="L155" s="208">
        <v>0</v>
      </c>
      <c r="M155" s="208"/>
      <c r="N155" s="208">
        <v>25</v>
      </c>
      <c r="O155" s="208"/>
      <c r="P155" s="41">
        <f>0.01*76.0204081632653</f>
        <v>0.7602040816326531</v>
      </c>
      <c r="Q155" s="208"/>
      <c r="R155" s="208">
        <v>0.061161426206116934</v>
      </c>
      <c r="S155" s="208"/>
      <c r="T155" s="208"/>
      <c r="U155" s="208"/>
      <c r="V155" s="208">
        <v>0.0026810488199941673</v>
      </c>
      <c r="W155" s="208"/>
      <c r="X155" s="208">
        <v>0.07600639352242465</v>
      </c>
      <c r="Y155" s="208"/>
      <c r="Z155" s="208">
        <v>186</v>
      </c>
      <c r="AA155" s="208"/>
      <c r="AB155" s="403">
        <v>74.5</v>
      </c>
      <c r="AC155" s="208"/>
      <c r="AD155" s="208">
        <v>0.1897609287942414</v>
      </c>
      <c r="AE155" s="208"/>
      <c r="AF155" s="208">
        <v>0.0010202200472808677</v>
      </c>
      <c r="AH155" s="129">
        <f>B155/AF155</f>
        <v>250.0011257656615</v>
      </c>
    </row>
    <row r="157" ht="12.75">
      <c r="A157" s="340"/>
    </row>
  </sheetData>
  <sheetProtection/>
  <mergeCells count="32">
    <mergeCell ref="Z8:AA8"/>
    <mergeCell ref="AB8:AC8"/>
    <mergeCell ref="AD8:AE8"/>
    <mergeCell ref="AF8:AG8"/>
    <mergeCell ref="N8:O8"/>
    <mergeCell ref="P8:Q8"/>
    <mergeCell ref="R8:S8"/>
    <mergeCell ref="T8:U8"/>
    <mergeCell ref="V8:W8"/>
    <mergeCell ref="X8:Y8"/>
    <mergeCell ref="AF4:AG7"/>
    <mergeCell ref="AH4:AH7"/>
    <mergeCell ref="L5:M7"/>
    <mergeCell ref="N5:O7"/>
    <mergeCell ref="B8:C8"/>
    <mergeCell ref="D8:E8"/>
    <mergeCell ref="F8:G8"/>
    <mergeCell ref="H8:I8"/>
    <mergeCell ref="J8:K8"/>
    <mergeCell ref="L8:M8"/>
    <mergeCell ref="L4:O4"/>
    <mergeCell ref="P4:Q7"/>
    <mergeCell ref="R4:Y7"/>
    <mergeCell ref="Z4:AA7"/>
    <mergeCell ref="AB4:AC7"/>
    <mergeCell ref="AD4:AE7"/>
    <mergeCell ref="A4:A7"/>
    <mergeCell ref="B4:C7"/>
    <mergeCell ref="D4:E7"/>
    <mergeCell ref="F4:G7"/>
    <mergeCell ref="H4:I7"/>
    <mergeCell ref="J4:K7"/>
  </mergeCells>
  <conditionalFormatting sqref="B134:AH134">
    <cfRule type="dataBar" priority="2" dxfId="0">
      <dataBar minLength="0" maxLength="100">
        <cfvo type="min"/>
        <cfvo type="max"/>
        <color rgb="FF638EC6"/>
      </dataBar>
      <extLst>
        <ext xmlns:x14="http://schemas.microsoft.com/office/spreadsheetml/2009/9/main" uri="{B025F937-C7B1-47D3-B67F-A62EFF666E3E}">
          <x14:id>{4d8acb49-0433-4d39-87a6-7853a9b671ba}</x14:id>
        </ext>
      </extLst>
    </cfRule>
  </conditionalFormatting>
  <conditionalFormatting sqref="B129:AH129">
    <cfRule type="dataBar" priority="1" dxfId="0">
      <dataBar minLength="0" maxLength="100">
        <cfvo type="min"/>
        <cfvo type="max"/>
        <color rgb="FF638EC6"/>
      </dataBar>
      <extLst>
        <ext xmlns:x14="http://schemas.microsoft.com/office/spreadsheetml/2009/9/main" uri="{B025F937-C7B1-47D3-B67F-A62EFF666E3E}">
          <x14:id>{e436d269-ec30-47e8-8c3e-784fb05e713a}</x14:id>
        </ext>
      </extLst>
    </cfRule>
  </conditionalFormatting>
  <printOptions/>
  <pageMargins left="0.7" right="0.7" top="0.75" bottom="0.75" header="0.3" footer="0.3"/>
  <pageSetup orientation="portrait" paperSize="9"/>
  <legacyDrawing r:id="rId2"/>
  <extLst>
    <ext xmlns:x14="http://schemas.microsoft.com/office/spreadsheetml/2009/9/main" uri="{78C0D931-6437-407d-A8EE-F0AAD7539E65}">
      <x14:conditionalFormattings>
        <x14:conditionalFormatting xmlns:xm="http://schemas.microsoft.com/office/excel/2006/main">
          <x14:cfRule type="dataBar" id="{4d8acb49-0433-4d39-87a6-7853a9b671ba}">
            <x14:dataBar minLength="0" maxLength="100" gradient="0">
              <x14:cfvo type="min"/>
              <x14:cfvo type="max"/>
              <x14:negativeFillColor rgb="FFFF0000"/>
              <x14:axisColor rgb="FF000000"/>
            </x14:dataBar>
            <x14:dxf>
              <border/>
            </x14:dxf>
          </x14:cfRule>
          <xm:sqref>B134:AH134</xm:sqref>
        </x14:conditionalFormatting>
        <x14:conditionalFormatting xmlns:xm="http://schemas.microsoft.com/office/excel/2006/main">
          <x14:cfRule type="dataBar" id="{e436d269-ec30-47e8-8c3e-784fb05e713a}">
            <x14:dataBar minLength="0" maxLength="100" gradient="0">
              <x14:cfvo type="min"/>
              <x14:cfvo type="max"/>
              <x14:negativeFillColor rgb="FFFF0000"/>
              <x14:axisColor rgb="FF000000"/>
            </x14:dataBar>
            <x14:dxf/>
          </x14:cfRule>
          <xm:sqref>B129:AH129</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W52"/>
  <sheetViews>
    <sheetView zoomScalePageLayoutView="0" workbookViewId="0" topLeftCell="A1">
      <selection activeCell="P6" sqref="P6:P14"/>
    </sheetView>
  </sheetViews>
  <sheetFormatPr defaultColWidth="11.421875" defaultRowHeight="12.75"/>
  <cols>
    <col min="1" max="1" width="21.00390625" style="14" customWidth="1"/>
    <col min="2" max="2" width="11.7109375" style="14" customWidth="1"/>
    <col min="3" max="3" width="10.140625" style="14" customWidth="1"/>
    <col min="4" max="6" width="8.7109375" style="14" customWidth="1"/>
    <col min="7" max="7" width="12.8515625" style="14" customWidth="1"/>
    <col min="8" max="12" width="8.7109375" style="14" hidden="1" customWidth="1"/>
    <col min="13" max="13" width="10.8515625" style="14" customWidth="1"/>
    <col min="14" max="14" width="15.421875" style="14" customWidth="1"/>
    <col min="15" max="16" width="9.140625" style="14" customWidth="1"/>
    <col min="17" max="17" width="13.00390625" style="14" customWidth="1"/>
    <col min="18" max="18" width="10.140625" style="14" bestFit="1" customWidth="1"/>
    <col min="19" max="16384" width="11.421875" style="14" customWidth="1"/>
  </cols>
  <sheetData>
    <row r="1" ht="15.75">
      <c r="A1" s="113" t="s">
        <v>271</v>
      </c>
    </row>
    <row r="2" spans="1:14" s="40" customFormat="1" ht="14.25">
      <c r="A2" s="389"/>
      <c r="B2" s="111"/>
      <c r="C2" s="111"/>
      <c r="D2" s="111"/>
      <c r="E2" s="111"/>
      <c r="F2" s="76"/>
      <c r="G2" s="76"/>
      <c r="H2" s="111"/>
      <c r="I2" s="111"/>
      <c r="J2" s="111"/>
      <c r="K2" s="111"/>
      <c r="L2" s="111"/>
      <c r="M2" s="76"/>
      <c r="N2" s="688"/>
    </row>
    <row r="3" ht="12.75">
      <c r="A3" s="62"/>
    </row>
    <row r="4" spans="1:23" ht="25.5" customHeight="1">
      <c r="A4" s="1048" t="s">
        <v>1162</v>
      </c>
      <c r="B4" s="1235" t="s">
        <v>141</v>
      </c>
      <c r="C4" s="1235"/>
      <c r="D4" s="1235"/>
      <c r="E4" s="1235"/>
      <c r="F4" s="1235"/>
      <c r="G4" s="1235"/>
      <c r="H4" s="1236" t="s">
        <v>140</v>
      </c>
      <c r="I4" s="1236"/>
      <c r="J4" s="1236"/>
      <c r="K4" s="1236"/>
      <c r="L4" s="1236"/>
      <c r="M4" s="1236"/>
      <c r="N4" s="1042" t="s">
        <v>834</v>
      </c>
      <c r="R4" s="19"/>
      <c r="S4" s="19"/>
      <c r="T4" s="19"/>
      <c r="U4" s="19"/>
      <c r="V4" s="19"/>
      <c r="W4" s="19"/>
    </row>
    <row r="5" spans="2:23" ht="25.5">
      <c r="B5" s="268">
        <v>2008</v>
      </c>
      <c r="C5" s="268">
        <v>2009</v>
      </c>
      <c r="D5" s="268">
        <v>2010</v>
      </c>
      <c r="E5" s="268">
        <v>2011</v>
      </c>
      <c r="F5" s="268">
        <v>2012</v>
      </c>
      <c r="G5" s="689" t="s">
        <v>1145</v>
      </c>
      <c r="H5" s="690">
        <v>1999</v>
      </c>
      <c r="I5" s="690">
        <v>2000</v>
      </c>
      <c r="J5" s="690">
        <v>2001</v>
      </c>
      <c r="K5" s="690">
        <v>2002</v>
      </c>
      <c r="L5" s="690">
        <v>2003</v>
      </c>
      <c r="M5" s="690" t="s">
        <v>1146</v>
      </c>
      <c r="N5" s="689" t="s">
        <v>835</v>
      </c>
      <c r="R5" s="19"/>
      <c r="S5" s="82"/>
      <c r="T5" s="82"/>
      <c r="U5" s="19"/>
      <c r="V5" s="19"/>
      <c r="W5" s="19"/>
    </row>
    <row r="6" spans="1:23" ht="12.75">
      <c r="A6" s="112"/>
      <c r="B6" s="691" t="s">
        <v>99</v>
      </c>
      <c r="C6" s="691" t="s">
        <v>99</v>
      </c>
      <c r="D6" s="691" t="s">
        <v>99</v>
      </c>
      <c r="E6" s="691" t="s">
        <v>99</v>
      </c>
      <c r="F6" s="691" t="s">
        <v>99</v>
      </c>
      <c r="G6" s="890" t="s">
        <v>99</v>
      </c>
      <c r="H6" s="268" t="s">
        <v>99</v>
      </c>
      <c r="I6" s="268" t="s">
        <v>99</v>
      </c>
      <c r="J6" s="268" t="s">
        <v>99</v>
      </c>
      <c r="K6" s="268" t="s">
        <v>99</v>
      </c>
      <c r="L6" s="268" t="s">
        <v>99</v>
      </c>
      <c r="M6" s="268" t="s">
        <v>99</v>
      </c>
      <c r="N6" s="890" t="s">
        <v>99</v>
      </c>
      <c r="P6" s="376" t="s">
        <v>1147</v>
      </c>
      <c r="R6" s="19"/>
      <c r="S6" s="692"/>
      <c r="T6" s="692"/>
      <c r="U6" s="19"/>
      <c r="V6" s="19"/>
      <c r="W6" s="19"/>
    </row>
    <row r="7" spans="1:23" ht="13.5" thickBot="1">
      <c r="A7" s="1049" t="s">
        <v>98</v>
      </c>
      <c r="B7" s="111">
        <f>299*42</f>
        <v>12558</v>
      </c>
      <c r="C7" s="111">
        <f>282*42</f>
        <v>11844</v>
      </c>
      <c r="D7" s="111">
        <f>251*42</f>
        <v>10542</v>
      </c>
      <c r="E7" s="111">
        <f>241*42</f>
        <v>10122</v>
      </c>
      <c r="F7" s="76">
        <f>197*42</f>
        <v>8274</v>
      </c>
      <c r="G7" s="693">
        <f>AVERAGE(B7:F7)</f>
        <v>10668</v>
      </c>
      <c r="H7" s="111">
        <v>17455</v>
      </c>
      <c r="I7" s="111">
        <v>22364</v>
      </c>
      <c r="J7" s="111">
        <v>23375</v>
      </c>
      <c r="K7" s="111">
        <v>22927</v>
      </c>
      <c r="L7" s="111">
        <v>15366</v>
      </c>
      <c r="M7" s="76">
        <v>20297.4</v>
      </c>
      <c r="N7" s="40"/>
      <c r="P7" s="14" t="s">
        <v>1148</v>
      </c>
      <c r="R7" s="19"/>
      <c r="S7" s="19"/>
      <c r="T7" s="37"/>
      <c r="U7" s="19"/>
      <c r="V7" s="19"/>
      <c r="W7" s="19"/>
    </row>
    <row r="8" spans="1:23" ht="13.5" thickBot="1">
      <c r="A8" s="1049" t="s">
        <v>226</v>
      </c>
      <c r="B8" s="15">
        <f>89950000/(22747*2)</f>
        <v>1977.1838044577307</v>
      </c>
      <c r="C8" s="15">
        <f>88100000/(22747*2)</f>
        <v>1936.5191014199675</v>
      </c>
      <c r="D8" s="15">
        <f>83000000/(22747*2)</f>
        <v>1824.4164065591067</v>
      </c>
      <c r="E8" s="15">
        <f>79900000/(22747*2)</f>
        <v>1756.2755528201521</v>
      </c>
      <c r="F8" s="15">
        <f>91100000/(22747*2)</f>
        <v>2002.4618631028268</v>
      </c>
      <c r="G8" s="694">
        <f>AVERAGE(B8:F8)</f>
        <v>1899.3713456719568</v>
      </c>
      <c r="H8" s="40"/>
      <c r="I8" s="40"/>
      <c r="J8" s="40"/>
      <c r="K8" s="40"/>
      <c r="L8" s="40"/>
      <c r="M8" s="40"/>
      <c r="N8" s="40"/>
      <c r="P8" s="14" t="s">
        <v>1148</v>
      </c>
      <c r="R8" s="19"/>
      <c r="S8" s="19"/>
      <c r="T8" s="19"/>
      <c r="U8" s="19"/>
      <c r="V8" s="19"/>
      <c r="W8" s="19"/>
    </row>
    <row r="9" spans="1:23" ht="13.5" thickBot="1">
      <c r="A9" s="1049" t="s">
        <v>101</v>
      </c>
      <c r="B9" s="111">
        <f>182.6*100</f>
        <v>18260</v>
      </c>
      <c r="C9" s="111">
        <f>139.8*100</f>
        <v>13980.000000000002</v>
      </c>
      <c r="D9" s="111">
        <f>145.5*100</f>
        <v>14550</v>
      </c>
      <c r="E9" s="111">
        <f>178.2*100</f>
        <v>17820</v>
      </c>
      <c r="F9" s="76">
        <f>163.3*100</f>
        <v>16330.000000000002</v>
      </c>
      <c r="G9" s="694">
        <f>AVERAGE(B9:F9)</f>
        <v>16188</v>
      </c>
      <c r="H9" s="111"/>
      <c r="I9" s="111"/>
      <c r="J9" s="111"/>
      <c r="K9" s="111"/>
      <c r="L9" s="111"/>
      <c r="M9" s="76"/>
      <c r="N9" s="155"/>
      <c r="P9" s="14" t="s">
        <v>1148</v>
      </c>
      <c r="R9" s="19"/>
      <c r="S9" s="37"/>
      <c r="T9" s="263"/>
      <c r="U9" s="19"/>
      <c r="V9" s="19"/>
      <c r="W9" s="19"/>
    </row>
    <row r="10" spans="1:23" ht="12.75" customHeight="1" thickBot="1">
      <c r="A10" s="1049" t="s">
        <v>102</v>
      </c>
      <c r="B10" s="111"/>
      <c r="C10" s="111"/>
      <c r="D10" s="111"/>
      <c r="E10" s="111"/>
      <c r="F10" s="76"/>
      <c r="G10" s="76"/>
      <c r="H10" s="111">
        <v>7937</v>
      </c>
      <c r="I10" s="111">
        <v>12952</v>
      </c>
      <c r="J10" s="111">
        <v>9778</v>
      </c>
      <c r="K10" s="111">
        <v>9460</v>
      </c>
      <c r="L10" s="111">
        <v>10000</v>
      </c>
      <c r="M10" s="694">
        <f>SUM(H10:L10)/5</f>
        <v>10025.4</v>
      </c>
      <c r="N10" s="155"/>
      <c r="P10" s="14" t="s">
        <v>1149</v>
      </c>
      <c r="R10" s="19"/>
      <c r="S10" s="78"/>
      <c r="T10" s="263"/>
      <c r="U10" s="19"/>
      <c r="V10" s="19"/>
      <c r="W10" s="19"/>
    </row>
    <row r="11" spans="1:23" ht="13.5" thickBot="1">
      <c r="A11" s="1049" t="s">
        <v>137</v>
      </c>
      <c r="B11" s="111">
        <f>48*155</f>
        <v>7440</v>
      </c>
      <c r="C11" s="111">
        <f>48*168</f>
        <v>8064</v>
      </c>
      <c r="D11" s="111">
        <f>48*166</f>
        <v>7968</v>
      </c>
      <c r="E11" s="111">
        <f>48*168</f>
        <v>8064</v>
      </c>
      <c r="F11" s="111">
        <f>48*152</f>
        <v>7296</v>
      </c>
      <c r="G11" s="694">
        <f>AVERAGE(B11:F11)</f>
        <v>7766.4</v>
      </c>
      <c r="H11" s="111">
        <v>5313</v>
      </c>
      <c r="I11" s="111">
        <v>7500</v>
      </c>
      <c r="J11" s="111">
        <v>7063</v>
      </c>
      <c r="K11" s="111">
        <v>7500</v>
      </c>
      <c r="L11" s="111">
        <v>5882</v>
      </c>
      <c r="M11" s="76">
        <f>SUM(H11:L11)/5</f>
        <v>6651.6</v>
      </c>
      <c r="N11" s="155"/>
      <c r="P11" s="14" t="s">
        <v>1148</v>
      </c>
      <c r="R11" s="19"/>
      <c r="S11" s="78"/>
      <c r="T11" s="263"/>
      <c r="U11" s="19"/>
      <c r="V11" s="19"/>
      <c r="W11" s="19"/>
    </row>
    <row r="12" spans="1:23" ht="13.5" thickBot="1">
      <c r="A12" s="1049" t="s">
        <v>104</v>
      </c>
      <c r="B12" s="111">
        <f>50*62</f>
        <v>3100</v>
      </c>
      <c r="C12" s="111">
        <f>50*145</f>
        <v>7250</v>
      </c>
      <c r="D12" s="111">
        <f>50*107</f>
        <v>5350</v>
      </c>
      <c r="E12" s="111">
        <f>50*96</f>
        <v>4800</v>
      </c>
      <c r="F12" s="111">
        <f>50*84</f>
        <v>4200</v>
      </c>
      <c r="G12" s="694">
        <f>AVERAGE(B12:F12)</f>
        <v>4940</v>
      </c>
      <c r="H12" s="111">
        <v>10000</v>
      </c>
      <c r="I12" s="111">
        <v>11300</v>
      </c>
      <c r="J12" s="111">
        <v>12900</v>
      </c>
      <c r="K12" s="111">
        <v>14286</v>
      </c>
      <c r="L12" s="111">
        <v>14071</v>
      </c>
      <c r="M12" s="76">
        <f>SUM(H12:L12)/5</f>
        <v>12511.4</v>
      </c>
      <c r="N12" s="155"/>
      <c r="P12" s="14" t="s">
        <v>1148</v>
      </c>
      <c r="R12" s="19"/>
      <c r="S12" s="78"/>
      <c r="T12" s="263"/>
      <c r="U12" s="19"/>
      <c r="V12" s="19"/>
      <c r="W12" s="19"/>
    </row>
    <row r="13" spans="1:23" ht="13.5" thickBot="1">
      <c r="A13" s="34" t="s">
        <v>106</v>
      </c>
      <c r="B13" s="51">
        <v>6000</v>
      </c>
      <c r="C13" s="51">
        <v>3800</v>
      </c>
      <c r="D13" s="51">
        <v>4300</v>
      </c>
      <c r="E13" s="51">
        <v>5100</v>
      </c>
      <c r="F13" s="17">
        <v>5000</v>
      </c>
      <c r="G13" s="694">
        <f>AVERAGE(B13:F13)</f>
        <v>4840</v>
      </c>
      <c r="H13" s="51">
        <v>3813</v>
      </c>
      <c r="I13" s="51">
        <v>4875</v>
      </c>
      <c r="J13" s="51">
        <v>4063</v>
      </c>
      <c r="K13" s="51">
        <v>3750</v>
      </c>
      <c r="L13" s="51">
        <v>4500</v>
      </c>
      <c r="M13" s="17">
        <f>SUM(H13:L13)/5</f>
        <v>4200.2</v>
      </c>
      <c r="N13" s="155">
        <v>8280</v>
      </c>
      <c r="P13" s="14" t="s">
        <v>1148</v>
      </c>
      <c r="Q13" s="17"/>
      <c r="R13" s="19"/>
      <c r="S13" s="78"/>
      <c r="T13" s="263"/>
      <c r="U13" s="19"/>
      <c r="V13" s="19"/>
      <c r="W13" s="19"/>
    </row>
    <row r="14" spans="1:23" ht="13.5" thickBot="1">
      <c r="A14" s="1049" t="s">
        <v>107</v>
      </c>
      <c r="B14" s="76">
        <v>11300</v>
      </c>
      <c r="C14" s="40"/>
      <c r="D14" s="40">
        <v>11500</v>
      </c>
      <c r="E14" s="40">
        <v>16000</v>
      </c>
      <c r="F14" s="695">
        <v>7600</v>
      </c>
      <c r="G14" s="694">
        <f>AVERAGE(B14:F14)</f>
        <v>11600</v>
      </c>
      <c r="H14" s="40"/>
      <c r="I14" s="40"/>
      <c r="J14" s="40"/>
      <c r="K14" s="40"/>
      <c r="L14" s="40"/>
      <c r="M14" s="40"/>
      <c r="N14" s="155">
        <v>28980</v>
      </c>
      <c r="P14" s="14" t="s">
        <v>1148</v>
      </c>
      <c r="Q14" s="17"/>
      <c r="R14" s="19"/>
      <c r="S14" s="78"/>
      <c r="T14" s="263"/>
      <c r="U14" s="19"/>
      <c r="V14" s="19"/>
      <c r="W14" s="19"/>
    </row>
    <row r="15" spans="1:21" s="241" customFormat="1" ht="12.75">
      <c r="A15" s="1050" t="s">
        <v>227</v>
      </c>
      <c r="B15" s="698"/>
      <c r="C15" s="698"/>
      <c r="D15" s="698"/>
      <c r="E15" s="698"/>
      <c r="F15" s="474"/>
      <c r="G15" s="527"/>
      <c r="N15" s="699">
        <v>6210</v>
      </c>
      <c r="Q15" s="17"/>
      <c r="R15" s="19"/>
      <c r="S15" s="78"/>
      <c r="T15" s="263"/>
      <c r="U15" s="263"/>
    </row>
    <row r="16" spans="1:20" s="241" customFormat="1" ht="12.75">
      <c r="A16" s="1050" t="s">
        <v>225</v>
      </c>
      <c r="B16" s="698">
        <v>2800</v>
      </c>
      <c r="C16" s="698">
        <v>3100</v>
      </c>
      <c r="D16" s="698">
        <v>2600</v>
      </c>
      <c r="E16" s="698">
        <v>2600</v>
      </c>
      <c r="F16" s="474">
        <v>2800</v>
      </c>
      <c r="G16" s="527">
        <f>AVERAGE(B16:F16)</f>
        <v>2780</v>
      </c>
      <c r="N16" s="699"/>
      <c r="Q16" s="17"/>
      <c r="R16" s="19"/>
      <c r="S16" s="37"/>
      <c r="T16" s="263"/>
    </row>
    <row r="17" spans="1:20" s="241" customFormat="1" ht="12.75">
      <c r="A17" s="1051" t="s">
        <v>228</v>
      </c>
      <c r="B17" s="700"/>
      <c r="C17" s="700"/>
      <c r="D17" s="700"/>
      <c r="E17" s="700"/>
      <c r="F17" s="527"/>
      <c r="G17" s="527"/>
      <c r="N17" s="699">
        <v>5796</v>
      </c>
      <c r="Q17" s="17"/>
      <c r="R17" s="19"/>
      <c r="S17" s="37"/>
      <c r="T17" s="263"/>
    </row>
    <row r="18" spans="1:20" s="241" customFormat="1" ht="12.75">
      <c r="A18" s="1050" t="s">
        <v>105</v>
      </c>
      <c r="B18" s="698">
        <v>1400</v>
      </c>
      <c r="C18" s="698">
        <v>1400</v>
      </c>
      <c r="D18" s="698">
        <v>1600</v>
      </c>
      <c r="E18" s="698">
        <v>1500</v>
      </c>
      <c r="F18" s="474">
        <v>1300</v>
      </c>
      <c r="G18" s="527">
        <f>AVERAGE(B18:F18)</f>
        <v>1440</v>
      </c>
      <c r="N18" s="699">
        <v>6210</v>
      </c>
      <c r="R18" s="19"/>
      <c r="S18" s="37"/>
      <c r="T18" s="263"/>
    </row>
    <row r="19" spans="1:20" s="241" customFormat="1" ht="12.75">
      <c r="A19" s="697"/>
      <c r="B19" s="698"/>
      <c r="C19" s="698"/>
      <c r="D19" s="698"/>
      <c r="E19" s="698"/>
      <c r="F19" s="474"/>
      <c r="G19" s="527"/>
      <c r="N19" s="699"/>
      <c r="R19" s="19"/>
      <c r="S19" s="37"/>
      <c r="T19" s="263"/>
    </row>
    <row r="20" spans="1:14" ht="42" customHeight="1">
      <c r="A20" s="1048" t="s">
        <v>1163</v>
      </c>
      <c r="B20" s="1191" t="s">
        <v>1150</v>
      </c>
      <c r="C20" s="1191"/>
      <c r="D20" s="1191"/>
      <c r="E20" s="1191"/>
      <c r="F20" s="1191"/>
      <c r="G20" s="1191"/>
      <c r="H20" s="1237" t="s">
        <v>1151</v>
      </c>
      <c r="I20" s="1237"/>
      <c r="J20" s="1237"/>
      <c r="K20" s="1237"/>
      <c r="L20" s="1237"/>
      <c r="M20" s="1237"/>
      <c r="N20" s="268" t="s">
        <v>1152</v>
      </c>
    </row>
    <row r="21" spans="1:14" ht="25.5">
      <c r="A21" s="62"/>
      <c r="B21" s="268">
        <v>2008</v>
      </c>
      <c r="C21" s="268">
        <v>2009</v>
      </c>
      <c r="D21" s="268">
        <v>2010</v>
      </c>
      <c r="E21" s="268">
        <v>2011</v>
      </c>
      <c r="F21" s="268">
        <v>2012</v>
      </c>
      <c r="G21" s="553" t="s">
        <v>1145</v>
      </c>
      <c r="H21" s="440">
        <v>2008</v>
      </c>
      <c r="I21" s="440">
        <v>2009</v>
      </c>
      <c r="J21" s="440">
        <v>2010</v>
      </c>
      <c r="K21" s="440">
        <v>2011</v>
      </c>
      <c r="L21" s="440">
        <v>2012</v>
      </c>
      <c r="M21" s="553" t="s">
        <v>1145</v>
      </c>
      <c r="N21" s="268" t="s">
        <v>1153</v>
      </c>
    </row>
    <row r="22" spans="1:17" ht="13.5" thickBot="1">
      <c r="A22" s="75"/>
      <c r="B22" s="691" t="s">
        <v>99</v>
      </c>
      <c r="C22" s="691" t="s">
        <v>99</v>
      </c>
      <c r="D22" s="691" t="s">
        <v>99</v>
      </c>
      <c r="E22" s="691" t="s">
        <v>99</v>
      </c>
      <c r="F22" s="691" t="s">
        <v>99</v>
      </c>
      <c r="G22" s="1052" t="s">
        <v>99</v>
      </c>
      <c r="H22" s="994" t="s">
        <v>99</v>
      </c>
      <c r="I22" s="994" t="s">
        <v>99</v>
      </c>
      <c r="J22" s="994" t="s">
        <v>99</v>
      </c>
      <c r="K22" s="994" t="s">
        <v>99</v>
      </c>
      <c r="L22" s="994" t="s">
        <v>99</v>
      </c>
      <c r="M22" s="994" t="s">
        <v>99</v>
      </c>
      <c r="N22" s="994" t="s">
        <v>99</v>
      </c>
      <c r="O22" s="33"/>
      <c r="P22" s="33" t="s">
        <v>1147</v>
      </c>
      <c r="Q22" s="33"/>
    </row>
    <row r="23" spans="1:16" ht="13.5" thickBot="1">
      <c r="A23" s="1046" t="s">
        <v>418</v>
      </c>
      <c r="B23" s="17">
        <f>B25/B24</f>
        <v>27816.54731068109</v>
      </c>
      <c r="C23" s="17">
        <f>C25/C24</f>
        <v>25516.490354698195</v>
      </c>
      <c r="D23" s="17">
        <f>D25/D24</f>
        <v>30093.403385872738</v>
      </c>
      <c r="E23" s="17">
        <f>E25/E24</f>
        <v>30868.662911354877</v>
      </c>
      <c r="F23" s="17">
        <f>F25/F24</f>
        <v>28971.291866028707</v>
      </c>
      <c r="G23" s="1053">
        <f>AVERAGE(B23:F23)</f>
        <v>28653.279165727123</v>
      </c>
      <c r="H23" s="78"/>
      <c r="I23" s="78"/>
      <c r="J23" s="78"/>
      <c r="K23" s="78"/>
      <c r="L23" s="186"/>
      <c r="N23" s="1054"/>
      <c r="P23" s="228" t="s">
        <v>1154</v>
      </c>
    </row>
    <row r="24" spans="1:14" ht="13.5" hidden="1" thickBot="1">
      <c r="A24" s="1055" t="s">
        <v>1155</v>
      </c>
      <c r="B24" s="1056">
        <v>656300</v>
      </c>
      <c r="C24" s="1056">
        <v>642800</v>
      </c>
      <c r="D24" s="1056">
        <v>342600</v>
      </c>
      <c r="E24" s="1056">
        <v>337300</v>
      </c>
      <c r="F24" s="1056">
        <v>334400</v>
      </c>
      <c r="H24" s="78"/>
      <c r="I24" s="78"/>
      <c r="J24" s="78"/>
      <c r="K24" s="78"/>
      <c r="L24" s="186"/>
      <c r="N24" s="36"/>
    </row>
    <row r="25" spans="1:14" ht="13.5" hidden="1" thickBot="1">
      <c r="A25" s="1055" t="s">
        <v>1156</v>
      </c>
      <c r="B25" s="1056">
        <f>1000*2000*9128</f>
        <v>18256000000</v>
      </c>
      <c r="C25" s="1056">
        <f>1000*2000*8201</f>
        <v>16402000000</v>
      </c>
      <c r="D25" s="1056">
        <f>1000*2000*5155</f>
        <v>10310000000</v>
      </c>
      <c r="E25" s="1056">
        <f>1000*2000*5206</f>
        <v>10412000000</v>
      </c>
      <c r="F25" s="1056">
        <f>1000*2000*4844</f>
        <v>9688000000</v>
      </c>
      <c r="H25" s="78"/>
      <c r="I25" s="78"/>
      <c r="J25" s="78"/>
      <c r="K25" s="78"/>
      <c r="L25" s="186"/>
      <c r="N25" s="36"/>
    </row>
    <row r="26" spans="1:16" ht="14.25" customHeight="1" thickBot="1">
      <c r="A26" s="1046" t="s">
        <v>414</v>
      </c>
      <c r="B26" s="17">
        <f>B28/B27</f>
        <v>32437.81094527363</v>
      </c>
      <c r="C26" s="17">
        <f>C28/C27</f>
        <v>32230.971128608922</v>
      </c>
      <c r="D26" s="17">
        <f>D28/D27</f>
        <v>33978.49462365591</v>
      </c>
      <c r="E26" s="17">
        <f>E28/E27</f>
        <v>31416.893732970027</v>
      </c>
      <c r="F26" s="17">
        <f>F28/F27</f>
        <v>32305.593451568893</v>
      </c>
      <c r="G26" s="1053">
        <f>AVERAGE(B26:F26)</f>
        <v>32473.952776415477</v>
      </c>
      <c r="H26" s="78"/>
      <c r="I26" s="78"/>
      <c r="J26" s="78"/>
      <c r="K26" s="78"/>
      <c r="L26" s="186"/>
      <c r="N26" s="36"/>
      <c r="P26" s="228" t="s">
        <v>1154</v>
      </c>
    </row>
    <row r="27" spans="1:14" ht="13.5" customHeight="1" hidden="1">
      <c r="A27" s="1055" t="s">
        <v>1155</v>
      </c>
      <c r="B27" s="1056">
        <v>80400</v>
      </c>
      <c r="C27" s="1056">
        <v>76200</v>
      </c>
      <c r="D27" s="1056">
        <v>74400</v>
      </c>
      <c r="E27" s="1056">
        <v>73400</v>
      </c>
      <c r="F27" s="1056">
        <v>73300</v>
      </c>
      <c r="H27" s="78"/>
      <c r="I27" s="78"/>
      <c r="J27" s="78"/>
      <c r="K27" s="78"/>
      <c r="L27" s="186"/>
      <c r="N27" s="36"/>
    </row>
    <row r="28" spans="1:14" ht="15" customHeight="1" hidden="1" thickBot="1">
      <c r="A28" s="1055" t="s">
        <v>1156</v>
      </c>
      <c r="B28" s="475">
        <f>1000*2000*1304</f>
        <v>2608000000</v>
      </c>
      <c r="C28" s="475">
        <f>1000*2000*1228</f>
        <v>2456000000</v>
      </c>
      <c r="D28" s="475">
        <f>1000*2000*1264</f>
        <v>2528000000</v>
      </c>
      <c r="E28" s="475">
        <f>1000*2000*1153</f>
        <v>2306000000</v>
      </c>
      <c r="F28" s="475">
        <f>1000*2000*1184</f>
        <v>2368000000</v>
      </c>
      <c r="H28" s="78"/>
      <c r="I28" s="78"/>
      <c r="J28" s="78"/>
      <c r="K28" s="78"/>
      <c r="L28" s="186"/>
      <c r="N28" s="36"/>
    </row>
    <row r="29" spans="1:16" ht="13.5" thickBot="1">
      <c r="A29" s="1046" t="s">
        <v>428</v>
      </c>
      <c r="B29" s="17">
        <f>B31/B30</f>
        <v>30915.254237288136</v>
      </c>
      <c r="C29" s="17">
        <f>C31/C30</f>
        <v>30280.701754385966</v>
      </c>
      <c r="D29" s="17">
        <f>D31/D30</f>
        <v>33153.15315315315</v>
      </c>
      <c r="E29" s="17">
        <f>E31/E30</f>
        <v>30909.090909090908</v>
      </c>
      <c r="F29" s="17">
        <f>F31/F30</f>
        <v>33163.63636363636</v>
      </c>
      <c r="G29" s="1053">
        <f>AVERAGE(B29:F29)</f>
        <v>31684.367283510906</v>
      </c>
      <c r="H29" s="78"/>
      <c r="I29" s="78"/>
      <c r="J29" s="78"/>
      <c r="K29" s="78"/>
      <c r="L29" s="186"/>
      <c r="P29" s="228" t="s">
        <v>1154</v>
      </c>
    </row>
    <row r="30" spans="1:14" ht="13.5" hidden="1" thickBot="1">
      <c r="A30" s="1055" t="s">
        <v>1155</v>
      </c>
      <c r="B30" s="1056">
        <v>59000</v>
      </c>
      <c r="C30" s="1056">
        <v>57000</v>
      </c>
      <c r="D30" s="1056">
        <v>55500</v>
      </c>
      <c r="E30" s="1056">
        <v>55000</v>
      </c>
      <c r="F30" s="1056">
        <v>55000</v>
      </c>
      <c r="H30" s="78"/>
      <c r="I30" s="78"/>
      <c r="J30" s="78"/>
      <c r="K30" s="78"/>
      <c r="L30" s="186"/>
      <c r="N30" s="36"/>
    </row>
    <row r="31" spans="1:14" ht="13.5" hidden="1" thickBot="1">
      <c r="A31" s="1055" t="s">
        <v>1156</v>
      </c>
      <c r="B31" s="475">
        <f>1000*2000*912</f>
        <v>1824000000</v>
      </c>
      <c r="C31" s="475">
        <f>1000*2000*863</f>
        <v>1726000000</v>
      </c>
      <c r="D31" s="475">
        <f>1000*2000*920</f>
        <v>1840000000</v>
      </c>
      <c r="E31" s="475">
        <f>1000*2000*850</f>
        <v>1700000000</v>
      </c>
      <c r="F31" s="475">
        <f>1000*2000*912</f>
        <v>1824000000</v>
      </c>
      <c r="H31" s="78"/>
      <c r="I31" s="78"/>
      <c r="J31" s="78"/>
      <c r="K31" s="78"/>
      <c r="L31" s="186"/>
      <c r="N31" s="36"/>
    </row>
    <row r="32" spans="1:16" ht="16.5" customHeight="1" thickBot="1">
      <c r="A32" s="1046" t="s">
        <v>1084</v>
      </c>
      <c r="B32" s="17">
        <f>B34/B33</f>
        <v>20045.24886877828</v>
      </c>
      <c r="C32" s="17">
        <f>C34/C33</f>
        <v>25982.5327510917</v>
      </c>
      <c r="D32" s="17">
        <f>D34/D33</f>
        <v>27204.96894409938</v>
      </c>
      <c r="E32" s="17">
        <f>E34/E33</f>
        <v>24486.692015209126</v>
      </c>
      <c r="F32" s="17">
        <f>F34/F33</f>
        <v>26257.197696737043</v>
      </c>
      <c r="G32" s="1053">
        <f>AVERAGE(B32:F32)</f>
        <v>24795.328055183105</v>
      </c>
      <c r="H32" s="78"/>
      <c r="I32" s="78"/>
      <c r="J32" s="78"/>
      <c r="K32" s="78"/>
      <c r="L32" s="186"/>
      <c r="N32" s="36"/>
      <c r="P32" s="228" t="s">
        <v>1154</v>
      </c>
    </row>
    <row r="33" spans="1:14" ht="0.75" customHeight="1" hidden="1" thickBot="1">
      <c r="A33" s="1055" t="s">
        <v>1155</v>
      </c>
      <c r="B33" s="1056">
        <v>44200</v>
      </c>
      <c r="C33" s="1056">
        <v>45800</v>
      </c>
      <c r="D33" s="1056">
        <v>48300</v>
      </c>
      <c r="E33" s="1056">
        <v>52600</v>
      </c>
      <c r="F33" s="1056">
        <v>52100</v>
      </c>
      <c r="H33" s="78"/>
      <c r="I33" s="78"/>
      <c r="J33" s="78"/>
      <c r="K33" s="78"/>
      <c r="L33" s="186"/>
      <c r="N33" s="36"/>
    </row>
    <row r="34" spans="1:14" ht="16.5" customHeight="1" hidden="1" thickBot="1">
      <c r="A34" s="1055" t="s">
        <v>1156</v>
      </c>
      <c r="B34" s="475">
        <f>1000*2000*443</f>
        <v>886000000</v>
      </c>
      <c r="C34" s="475">
        <f>1000*2000*595</f>
        <v>1190000000</v>
      </c>
      <c r="D34" s="475">
        <f>1000*2000*657</f>
        <v>1314000000</v>
      </c>
      <c r="E34" s="475">
        <f>1000*2000*644</f>
        <v>1288000000</v>
      </c>
      <c r="F34" s="475">
        <f>1000*2000*684</f>
        <v>1368000000</v>
      </c>
      <c r="H34" s="78"/>
      <c r="I34" s="78"/>
      <c r="J34" s="78"/>
      <c r="K34" s="78"/>
      <c r="L34" s="186"/>
      <c r="N34" s="36"/>
    </row>
    <row r="35" spans="1:16" ht="15" customHeight="1" thickBot="1">
      <c r="A35" s="1046" t="s">
        <v>429</v>
      </c>
      <c r="C35" s="175"/>
      <c r="F35" s="19"/>
      <c r="H35" s="81"/>
      <c r="I35" s="81"/>
      <c r="J35" s="81"/>
      <c r="K35" s="81"/>
      <c r="L35" s="81"/>
      <c r="N35" s="1057">
        <f>GlobalY!C21</f>
        <v>7940.1265320634</v>
      </c>
      <c r="P35" s="14" t="s">
        <v>1091</v>
      </c>
    </row>
    <row r="36" spans="1:16" ht="13.5" thickBot="1">
      <c r="A36" s="228" t="s">
        <v>419</v>
      </c>
      <c r="F36" s="19"/>
      <c r="H36" s="222">
        <f>2000*11.4</f>
        <v>22800</v>
      </c>
      <c r="I36" s="222">
        <f>2000*8.97</f>
        <v>17940</v>
      </c>
      <c r="J36" s="222">
        <f>2000*10.16</f>
        <v>20320</v>
      </c>
      <c r="K36" s="222">
        <f>2000*11.04</f>
        <v>22080</v>
      </c>
      <c r="L36" s="222">
        <f>2000*9.33</f>
        <v>18660</v>
      </c>
      <c r="M36" s="1058">
        <f>AVERAGE(H36:L36)</f>
        <v>20360</v>
      </c>
      <c r="N36" s="37"/>
      <c r="P36" s="1045" t="s">
        <v>1141</v>
      </c>
    </row>
    <row r="37" spans="1:16" ht="13.5" thickBot="1">
      <c r="A37" s="1046" t="s">
        <v>410</v>
      </c>
      <c r="F37" s="19"/>
      <c r="H37" s="78"/>
      <c r="I37" s="78"/>
      <c r="J37" s="78"/>
      <c r="K37" s="78"/>
      <c r="L37" s="186"/>
      <c r="N37" s="1059">
        <f>GlobalY!C22</f>
        <v>10196.3583136892</v>
      </c>
      <c r="P37" s="14" t="s">
        <v>1091</v>
      </c>
    </row>
    <row r="38" spans="1:16" ht="13.5" thickBot="1">
      <c r="A38" s="1046" t="s">
        <v>415</v>
      </c>
      <c r="F38" s="19"/>
      <c r="H38" s="81"/>
      <c r="I38" s="81"/>
      <c r="J38" s="81"/>
      <c r="K38" s="81"/>
      <c r="L38" s="81"/>
      <c r="N38" s="1059">
        <f>GlobalY!C23</f>
        <v>12667.159174156</v>
      </c>
      <c r="P38" s="14" t="s">
        <v>1091</v>
      </c>
    </row>
    <row r="39" spans="1:16" ht="13.5" thickBot="1">
      <c r="A39" s="1046" t="s">
        <v>413</v>
      </c>
      <c r="F39" s="19"/>
      <c r="H39" s="78"/>
      <c r="I39" s="78"/>
      <c r="J39" s="78"/>
      <c r="K39" s="78"/>
      <c r="L39" s="186"/>
      <c r="N39" s="1059">
        <f>GlobalY!C24</f>
        <v>5947.8905526374</v>
      </c>
      <c r="P39" s="14" t="s">
        <v>1091</v>
      </c>
    </row>
    <row r="40" spans="1:16" ht="13.5" thickBot="1">
      <c r="A40" s="1046" t="s">
        <v>431</v>
      </c>
      <c r="F40" s="19"/>
      <c r="H40" s="81"/>
      <c r="I40" s="81"/>
      <c r="J40" s="81"/>
      <c r="K40" s="81"/>
      <c r="L40" s="81"/>
      <c r="N40" s="1058">
        <f>GlobalY!C29</f>
        <v>6691.8787224732</v>
      </c>
      <c r="P40" s="14" t="s">
        <v>1091</v>
      </c>
    </row>
    <row r="41" spans="1:16" ht="13.5" thickBot="1">
      <c r="A41" s="228" t="s">
        <v>427</v>
      </c>
      <c r="F41" s="19"/>
      <c r="H41" s="81"/>
      <c r="I41" s="81"/>
      <c r="J41" s="81"/>
      <c r="K41" s="81"/>
      <c r="L41" s="81"/>
      <c r="N41" s="1058">
        <f>GlobalY!C25</f>
        <v>1592.0044252968</v>
      </c>
      <c r="P41" s="14" t="s">
        <v>1091</v>
      </c>
    </row>
    <row r="42" spans="1:7" ht="12.75">
      <c r="A42" s="266"/>
      <c r="B42" s="37"/>
      <c r="D42" s="81"/>
      <c r="E42" s="81"/>
      <c r="F42" s="81"/>
      <c r="G42" s="81"/>
    </row>
    <row r="44" ht="12.75">
      <c r="C44" s="17"/>
    </row>
    <row r="45" spans="3:4" ht="12.75">
      <c r="C45" s="17"/>
      <c r="D45" s="175"/>
    </row>
    <row r="46" ht="12.75">
      <c r="C46" s="17"/>
    </row>
    <row r="52" ht="12.75">
      <c r="D52" s="175"/>
    </row>
  </sheetData>
  <sheetProtection/>
  <mergeCells count="4">
    <mergeCell ref="B4:G4"/>
    <mergeCell ref="H4:M4"/>
    <mergeCell ref="B20:G20"/>
    <mergeCell ref="H20:M20"/>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Brandeis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Brian Donahue</cp:lastModifiedBy>
  <cp:lastPrinted>2011-03-01T13:47:20Z</cp:lastPrinted>
  <dcterms:created xsi:type="dcterms:W3CDTF">2009-12-01T13:25:02Z</dcterms:created>
  <dcterms:modified xsi:type="dcterms:W3CDTF">2014-08-25T15:51:01Z</dcterms:modified>
  <cp:category/>
  <cp:version/>
  <cp:contentType/>
  <cp:contentStatus/>
</cp:coreProperties>
</file>